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DA Regulations\Disclosure of benefitpremium illustration for Health insurance policies issued on floater basis\Benefit Illustration Calculators\"/>
    </mc:Choice>
  </mc:AlternateContent>
  <xr:revisionPtr revIDLastSave="0" documentId="8_{A2A4028C-A7D0-4B45-8099-D6D41E6552D3}" xr6:coauthVersionLast="47" xr6:coauthVersionMax="47" xr10:uidLastSave="{00000000-0000-0000-0000-000000000000}"/>
  <workbookProtection workbookAlgorithmName="SHA-512" workbookHashValue="IhSsOXaLfA9c8e/uPHxSl3GPCmdw6FGDXj0aRHCfygtJr/fX/xU+1MCt7aQjcc5u5PHBgTOaG8zQE1We/dnoww==" workbookSaltValue="+dLE13/1/5hXGlpJmWZr3A==" workbookSpinCount="100000" lockStructure="1"/>
  <bookViews>
    <workbookView xWindow="-120" yWindow="-120" windowWidth="20730" windowHeight="11160" xr2:uid="{00000000-000D-0000-FFFF-FFFF00000000}"/>
  </bookViews>
  <sheets>
    <sheet name="Sheet1" sheetId="7" r:id="rId1"/>
    <sheet name="Drop down lists" sheetId="2" state="hidden" r:id="rId2"/>
    <sheet name="Master" sheetId="3" state="hidden" r:id="rId3"/>
  </sheets>
  <definedNames>
    <definedName name="Secure_Basic">'Drop down lists'!$C$1:$C$4</definedName>
    <definedName name="Secure_Complete">'Drop down lists'!$F$1:$F$7</definedName>
    <definedName name="Secure_Elite">'Drop down lists'!$D$1:$D$6</definedName>
    <definedName name="Secure_Supreme">'Drop down lists'!$E$1:$E$5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7" l="1"/>
  <c r="AQ7" i="3"/>
  <c r="AE20" i="3"/>
  <c r="AR7" i="3"/>
  <c r="AQ5" i="3"/>
  <c r="D19" i="7" s="1"/>
  <c r="A18" i="7"/>
  <c r="AP5" i="3"/>
  <c r="A19" i="7" s="1"/>
  <c r="AH4" i="3"/>
  <c r="C16" i="7"/>
  <c r="C14" i="7"/>
  <c r="C12" i="7"/>
  <c r="C13" i="7"/>
  <c r="AK20" i="3"/>
  <c r="AH20" i="3"/>
  <c r="AA8" i="3"/>
  <c r="AA7" i="3"/>
  <c r="AA6" i="3"/>
  <c r="AA5" i="3"/>
  <c r="AA4" i="3"/>
  <c r="X8" i="3"/>
  <c r="W8" i="3" s="1"/>
  <c r="X7" i="3"/>
  <c r="W7" i="3" s="1"/>
  <c r="X6" i="3"/>
  <c r="Y6" i="3" s="1"/>
  <c r="X5" i="3"/>
  <c r="Z5" i="3" s="1"/>
  <c r="X4" i="3"/>
  <c r="Y4" i="3" s="1"/>
  <c r="E12" i="7" l="1"/>
  <c r="W4" i="3"/>
  <c r="AS7" i="3"/>
  <c r="C8" i="7" s="1"/>
  <c r="W5" i="3"/>
  <c r="W6" i="3"/>
  <c r="Y5" i="3"/>
  <c r="Z6" i="3"/>
  <c r="Y7" i="3"/>
  <c r="AF19" i="3"/>
  <c r="AF22" i="3" s="1"/>
  <c r="Z7" i="3"/>
  <c r="Z4" i="3"/>
  <c r="AI4" i="3"/>
  <c r="AE19" i="3"/>
  <c r="Y8" i="3"/>
  <c r="Z8" i="3"/>
  <c r="AE17" i="3" l="1"/>
  <c r="K12" i="7" s="1"/>
  <c r="AR5" i="3" s="1"/>
  <c r="H19" i="7" s="1"/>
  <c r="G16" i="7"/>
  <c r="A16" i="7"/>
  <c r="G15" i="7"/>
  <c r="C15" i="7"/>
  <c r="A15" i="7"/>
  <c r="G14" i="7"/>
  <c r="A14" i="7"/>
  <c r="G13" i="7"/>
  <c r="A13" i="7"/>
  <c r="G12" i="7"/>
  <c r="A12" i="7"/>
  <c r="AN18" i="3" l="1"/>
  <c r="AO19" i="3"/>
  <c r="T11" i="3"/>
  <c r="S11" i="3"/>
  <c r="M37" i="3"/>
  <c r="R3" i="3"/>
  <c r="T33" i="3"/>
  <c r="T32" i="3"/>
  <c r="T31" i="3"/>
  <c r="T30" i="3"/>
  <c r="T29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AH38" i="3" l="1"/>
  <c r="AE21" i="3" l="1"/>
  <c r="S28" i="3" s="1"/>
  <c r="AE22" i="3" l="1"/>
  <c r="AE23" i="3" s="1"/>
  <c r="I12" i="7" s="1"/>
  <c r="R5" i="3"/>
  <c r="R9" i="3"/>
  <c r="U33" i="3"/>
  <c r="U32" i="3"/>
  <c r="R8" i="3"/>
  <c r="U30" i="3"/>
  <c r="R6" i="3"/>
  <c r="R7" i="3"/>
  <c r="U31" i="3"/>
  <c r="U29" i="3"/>
  <c r="S5" i="3" l="1"/>
  <c r="AB4" i="3"/>
  <c r="AK23" i="3" s="1"/>
  <c r="AE4" i="3" s="1"/>
  <c r="T5" i="3"/>
  <c r="T9" i="3"/>
  <c r="S9" i="3"/>
  <c r="AB8" i="3" s="1"/>
  <c r="T8" i="3"/>
  <c r="S8" i="3"/>
  <c r="T6" i="3"/>
  <c r="S6" i="3"/>
  <c r="T7" i="3"/>
  <c r="S7" i="3"/>
  <c r="AB6" i="3" l="1"/>
  <c r="AH25" i="3" s="1"/>
  <c r="AD6" i="3" s="1"/>
  <c r="AB7" i="3"/>
  <c r="AH26" i="3" s="1"/>
  <c r="AD7" i="3" s="1"/>
  <c r="AB5" i="3"/>
  <c r="AH24" i="3" s="1"/>
  <c r="AD5" i="3" s="1"/>
  <c r="AH23" i="3"/>
  <c r="AD4" i="3" s="1"/>
  <c r="AK27" i="3"/>
  <c r="AE8" i="3" s="1"/>
  <c r="AH27" i="3"/>
  <c r="AD8" i="3" s="1"/>
  <c r="AK25" i="3" l="1"/>
  <c r="AE6" i="3" s="1"/>
  <c r="V31" i="3" s="1"/>
  <c r="AF6" i="3" s="1"/>
  <c r="AB9" i="3"/>
  <c r="AK26" i="3"/>
  <c r="AE7" i="3" s="1"/>
  <c r="V32" i="3" s="1"/>
  <c r="AB10" i="3"/>
  <c r="AH21" i="3" s="1"/>
  <c r="AD10" i="3" s="1"/>
  <c r="AK24" i="3"/>
  <c r="AE5" i="3" s="1"/>
  <c r="V30" i="3" s="1"/>
  <c r="V29" i="3"/>
  <c r="V33" i="3"/>
  <c r="AL4" i="3" l="1"/>
  <c r="AM4" i="3" s="1"/>
  <c r="AN4" i="3" s="1"/>
  <c r="AK21" i="3"/>
  <c r="AE10" i="3" s="1"/>
  <c r="AE24" i="3"/>
  <c r="AC10" i="3" s="1"/>
  <c r="AE9" i="3"/>
  <c r="AF5" i="3"/>
  <c r="AG5" i="3" s="1"/>
  <c r="AJ5" i="3" s="1"/>
  <c r="F13" i="7" s="1"/>
  <c r="AF7" i="3"/>
  <c r="AG7" i="3" s="1"/>
  <c r="AJ7" i="3" s="1"/>
  <c r="F15" i="7" s="1"/>
  <c r="AF4" i="3"/>
  <c r="AG4" i="3" s="1"/>
  <c r="AJ4" i="3" s="1"/>
  <c r="AD9" i="3"/>
  <c r="AF8" i="3"/>
  <c r="AG8" i="3" s="1"/>
  <c r="AJ8" i="3" s="1"/>
  <c r="F16" i="7" s="1"/>
  <c r="AG6" i="3"/>
  <c r="AJ6" i="3" s="1"/>
  <c r="F14" i="7" s="1"/>
  <c r="F12" i="7" l="1"/>
  <c r="AJ9" i="3"/>
  <c r="AQ4" i="3" s="1"/>
  <c r="D17" i="7" s="1"/>
  <c r="D12" i="7"/>
  <c r="D14" i="7"/>
  <c r="D15" i="7"/>
  <c r="B16" i="7"/>
  <c r="D16" i="7"/>
  <c r="D13" i="7"/>
  <c r="B15" i="7"/>
  <c r="B13" i="7"/>
  <c r="B14" i="7"/>
  <c r="B12" i="7"/>
  <c r="AF9" i="3"/>
  <c r="AG9" i="3" s="1"/>
  <c r="AH9" i="3" s="1"/>
  <c r="AP4" i="3" s="1"/>
  <c r="A17" i="7" s="1"/>
  <c r="S29" i="3"/>
  <c r="AF10" i="3" s="1"/>
  <c r="AO15" i="3" l="1"/>
  <c r="AG10" i="3" l="1"/>
  <c r="AL5" i="3"/>
  <c r="AM5" i="3" s="1"/>
  <c r="AO17" i="3"/>
  <c r="AO18" i="3"/>
  <c r="AN5" i="3" l="1"/>
  <c r="AO4" i="3" s="1"/>
  <c r="H12" i="7"/>
  <c r="AC31" i="3"/>
  <c r="AJ10" i="3"/>
  <c r="AB31" i="3"/>
  <c r="J12" i="7" l="1"/>
  <c r="AR4" i="3"/>
  <c r="H17" i="7" s="1"/>
  <c r="AO20" i="3"/>
  <c r="AO21" i="3" l="1"/>
  <c r="AH41" i="3" s="1"/>
  <c r="AI41" i="3" s="1"/>
  <c r="AH40" i="3" l="1"/>
  <c r="AI40" i="3" s="1"/>
  <c r="AM13" i="3" s="1"/>
</calcChain>
</file>

<file path=xl/sharedStrings.xml><?xml version="1.0" encoding="utf-8"?>
<sst xmlns="http://schemas.openxmlformats.org/spreadsheetml/2006/main" count="247" uniqueCount="121">
  <si>
    <t>Policy Period</t>
  </si>
  <si>
    <t>1 year</t>
  </si>
  <si>
    <t>No</t>
  </si>
  <si>
    <t>Sr. No.</t>
  </si>
  <si>
    <t>Insured Name</t>
  </si>
  <si>
    <t>Age</t>
  </si>
  <si>
    <t>Plan</t>
  </si>
  <si>
    <t>Sum Insured</t>
  </si>
  <si>
    <t>Years</t>
  </si>
  <si>
    <t>Reload</t>
  </si>
  <si>
    <t>Enhanced Cumulative Bonus</t>
  </si>
  <si>
    <t>Waiver of Sublimits</t>
  </si>
  <si>
    <t>Age Band</t>
  </si>
  <si>
    <t>91 days - 25 years</t>
  </si>
  <si>
    <t>26 years - 35 years</t>
  </si>
  <si>
    <t>36 years - 40 years</t>
  </si>
  <si>
    <t>41 years - 45 years</t>
  </si>
  <si>
    <t>46 years - 50 years</t>
  </si>
  <si>
    <t>51 years - 55 years</t>
  </si>
  <si>
    <t>56 years - 60 years</t>
  </si>
  <si>
    <t>61 years - 65 years</t>
  </si>
  <si>
    <t>66 years - 70 years</t>
  </si>
  <si>
    <t>71 years - 75 years</t>
  </si>
  <si>
    <t>Master Table</t>
  </si>
  <si>
    <t>Working</t>
  </si>
  <si>
    <t>Age band</t>
  </si>
  <si>
    <t>Base Premium</t>
  </si>
  <si>
    <t>Enhanced CB</t>
  </si>
  <si>
    <t>NA</t>
  </si>
  <si>
    <t>2 years</t>
  </si>
  <si>
    <t>3 years</t>
  </si>
  <si>
    <t>Match</t>
  </si>
  <si>
    <t>Reload Loading</t>
  </si>
  <si>
    <t>Reload calc (Family Floater)</t>
  </si>
  <si>
    <t>Age Bands</t>
  </si>
  <si>
    <t>Discount</t>
  </si>
  <si>
    <t>Family floater Disc</t>
  </si>
  <si>
    <t>Per child</t>
  </si>
  <si>
    <t>For addition of 1 adult, the discount will be:</t>
  </si>
  <si>
    <t>Adult</t>
  </si>
  <si>
    <t>Highest Age</t>
  </si>
  <si>
    <t>Age band of Highest</t>
  </si>
  <si>
    <t>Discount %</t>
  </si>
  <si>
    <t>Sum insured</t>
  </si>
  <si>
    <t>Child</t>
  </si>
  <si>
    <t>Total disc</t>
  </si>
  <si>
    <t>Total disc amt</t>
  </si>
  <si>
    <t>Total (Individual)</t>
  </si>
  <si>
    <t>Total (Family floater)</t>
  </si>
  <si>
    <t>Family Floater Discount</t>
  </si>
  <si>
    <t>Loading %</t>
  </si>
  <si>
    <t>Loading amt</t>
  </si>
  <si>
    <t>Reload calc (Individual)</t>
  </si>
  <si>
    <t>Plans</t>
  </si>
  <si>
    <t>Loading</t>
  </si>
  <si>
    <t>For FF</t>
  </si>
  <si>
    <t>Loading Amt</t>
  </si>
  <si>
    <t>Waiver of sublimits</t>
  </si>
  <si>
    <t>Yes</t>
  </si>
  <si>
    <t>Total</t>
  </si>
  <si>
    <t>Half_Yearly</t>
  </si>
  <si>
    <t>Installment Calculation</t>
  </si>
  <si>
    <t>Installment Frequency</t>
  </si>
  <si>
    <t>Loading on Annual Premium</t>
  </si>
  <si>
    <t>Quarterly</t>
  </si>
  <si>
    <t>Monthly</t>
  </si>
  <si>
    <t>Option Loading</t>
  </si>
  <si>
    <t>Individual</t>
  </si>
  <si>
    <t>FF</t>
  </si>
  <si>
    <t>Premium with loading</t>
  </si>
  <si>
    <t>Multi Policy Year Discount</t>
  </si>
  <si>
    <t>Disc amount</t>
  </si>
  <si>
    <t>For Ind</t>
  </si>
  <si>
    <t>Basic Premium</t>
  </si>
  <si>
    <t>Add:Substandard Risk loading</t>
  </si>
  <si>
    <t>Less:Family Discount</t>
  </si>
  <si>
    <t>Less:Employee Discount</t>
  </si>
  <si>
    <t>Less:Direct Policy Purchase Discount</t>
  </si>
  <si>
    <t>Less:Long term discount</t>
  </si>
  <si>
    <t>Months</t>
  </si>
  <si>
    <t>Net Premium wo installment</t>
  </si>
  <si>
    <t>Very imp</t>
  </si>
  <si>
    <t>76 years - 100 years</t>
  </si>
  <si>
    <t>Policy Tenure</t>
  </si>
  <si>
    <t>Reload of Sum Insured</t>
  </si>
  <si>
    <t>Benefit Illustration in respect of policies offered on individual and family floater basis</t>
  </si>
  <si>
    <t>1st Adult Age</t>
  </si>
  <si>
    <t>2nd Adult Age</t>
  </si>
  <si>
    <t>1st Child Age</t>
  </si>
  <si>
    <t>2nd Child Age</t>
  </si>
  <si>
    <t>3rd Child Age</t>
  </si>
  <si>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</si>
  <si>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</si>
  <si>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</si>
  <si>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</si>
  <si>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</si>
  <si>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</si>
  <si>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</si>
  <si>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</si>
  <si>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</si>
  <si>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</si>
  <si>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SECURE HEALTH CONNECT POLICY</t>
  </si>
  <si>
    <t>Secure Basic</t>
  </si>
  <si>
    <t>Secure Elite</t>
  </si>
  <si>
    <t>Secure Supreme</t>
  </si>
  <si>
    <t>Secure Complete</t>
  </si>
  <si>
    <t>3-11 Months</t>
  </si>
  <si>
    <t>Otional Covers</t>
  </si>
  <si>
    <t>Waiver of Medical Expenses Sub limits</t>
  </si>
  <si>
    <t>UIN: LIBHLIP21503V022021</t>
  </si>
  <si>
    <t>Long term Discount</t>
  </si>
  <si>
    <t>Family discount</t>
  </si>
  <si>
    <t>Premium with Long term &amp; family discount</t>
  </si>
  <si>
    <t>Floater Type</t>
  </si>
  <si>
    <t>Floater premium</t>
  </si>
  <si>
    <t>Base premium</t>
  </si>
  <si>
    <t>Optional Cover</t>
  </si>
  <si>
    <t>Floater premium with long term discount</t>
  </si>
  <si>
    <t>Floater Discount</t>
  </si>
  <si>
    <t>Final Floater Premium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</si>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</sst>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F0F0F0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/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1" xfId="0" applyFont="1" applyBorder="1"/>
    <xf numFmtId="3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9" fontId="0" fillId="0" borderId="0" xfId="0" applyNumberFormat="1" applyFont="1"/>
    <xf numFmtId="1" fontId="0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165" fontId="1" fillId="0" borderId="0" xfId="1" applyNumberFormat="1" applyFont="1"/>
    <xf numFmtId="9" fontId="0" fillId="0" borderId="1" xfId="0" applyNumberFormat="1" applyFont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1" fontId="0" fillId="0" borderId="1" xfId="0" applyNumberFormat="1" applyFont="1" applyBorder="1"/>
    <xf numFmtId="165" fontId="1" fillId="0" borderId="0" xfId="1" applyNumberFormat="1" applyFont="1" applyFill="1"/>
    <xf numFmtId="165" fontId="0" fillId="0" borderId="0" xfId="0" applyNumberFormat="1" applyFont="1"/>
    <xf numFmtId="165" fontId="1" fillId="0" borderId="1" xfId="1" applyNumberFormat="1" applyFont="1" applyBorder="1"/>
    <xf numFmtId="0" fontId="4" fillId="2" borderId="1" xfId="0" applyFont="1" applyFill="1" applyBorder="1" applyAlignment="1"/>
    <xf numFmtId="0" fontId="4" fillId="2" borderId="1" xfId="0" applyFont="1" applyFill="1" applyBorder="1"/>
    <xf numFmtId="165" fontId="1" fillId="0" borderId="0" xfId="1" applyNumberFormat="1" applyFont="1" applyFill="1" applyBorder="1"/>
    <xf numFmtId="165" fontId="4" fillId="3" borderId="0" xfId="1" applyNumberFormat="1" applyFont="1" applyFill="1"/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4" fillId="5" borderId="0" xfId="0" applyFont="1" applyFill="1" applyBorder="1"/>
    <xf numFmtId="0" fontId="4" fillId="6" borderId="0" xfId="0" applyFont="1" applyFill="1" applyBorder="1"/>
    <xf numFmtId="0" fontId="0" fillId="0" borderId="0" xfId="0" applyFont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0" fillId="0" borderId="1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6" fontId="0" fillId="0" borderId="0" xfId="0" applyNumberFormat="1" applyFont="1"/>
    <xf numFmtId="165" fontId="2" fillId="0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0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7" borderId="7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7" fillId="10" borderId="12" xfId="0" applyFont="1" applyFill="1" applyBorder="1" applyProtection="1">
      <protection hidden="1"/>
    </xf>
    <xf numFmtId="0" fontId="6" fillId="9" borderId="1" xfId="0" applyFont="1" applyFill="1" applyBorder="1" applyProtection="1">
      <protection locked="0"/>
    </xf>
    <xf numFmtId="0" fontId="7" fillId="10" borderId="1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10" fillId="11" borderId="24" xfId="0" applyFont="1" applyFill="1" applyBorder="1" applyAlignment="1" applyProtection="1">
      <alignment vertical="center" wrapText="1"/>
      <protection hidden="1"/>
    </xf>
    <xf numFmtId="0" fontId="10" fillId="11" borderId="24" xfId="0" applyFont="1" applyFill="1" applyBorder="1" applyAlignment="1" applyProtection="1">
      <alignment horizontal="center" vertical="center" wrapText="1"/>
      <protection hidden="1"/>
    </xf>
    <xf numFmtId="0" fontId="10" fillId="11" borderId="25" xfId="0" applyFont="1" applyFill="1" applyBorder="1" applyAlignment="1" applyProtection="1">
      <alignment vertical="center" wrapText="1"/>
      <protection hidden="1"/>
    </xf>
    <xf numFmtId="167" fontId="10" fillId="11" borderId="26" xfId="1" applyNumberFormat="1" applyFont="1" applyFill="1" applyBorder="1" applyAlignment="1" applyProtection="1">
      <alignment vertical="center" wrapText="1"/>
      <protection hidden="1"/>
    </xf>
    <xf numFmtId="0" fontId="6" fillId="9" borderId="1" xfId="0" applyFont="1" applyFill="1" applyBorder="1" applyAlignment="1" applyProtection="1">
      <alignment horizontal="right"/>
      <protection locked="0"/>
    </xf>
    <xf numFmtId="0" fontId="7" fillId="10" borderId="13" xfId="0" applyFont="1" applyFill="1" applyBorder="1" applyProtection="1">
      <protection hidden="1"/>
    </xf>
    <xf numFmtId="0" fontId="6" fillId="9" borderId="14" xfId="0" applyFont="1" applyFill="1" applyBorder="1" applyProtection="1">
      <protection locked="0"/>
    </xf>
    <xf numFmtId="0" fontId="7" fillId="10" borderId="14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left" wrapText="1"/>
      <protection hidden="1"/>
    </xf>
    <xf numFmtId="2" fontId="1" fillId="0" borderId="0" xfId="1" applyNumberFormat="1" applyFont="1" applyFill="1" applyBorder="1" applyAlignment="1" applyProtection="1">
      <alignment horizontal="center" vertical="center"/>
    </xf>
    <xf numFmtId="1" fontId="1" fillId="0" borderId="0" xfId="1" applyNumberFormat="1" applyFont="1" applyFill="1" applyBorder="1" applyAlignment="1" applyProtection="1">
      <alignment horizontal="center" vertical="center"/>
    </xf>
    <xf numFmtId="167" fontId="0" fillId="0" borderId="0" xfId="0" applyNumberFormat="1" applyFont="1"/>
    <xf numFmtId="0" fontId="0" fillId="0" borderId="0" xfId="0" applyFont="1" applyFill="1" applyBorder="1"/>
    <xf numFmtId="165" fontId="10" fillId="11" borderId="23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4" fillId="4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vertical="center"/>
    </xf>
    <xf numFmtId="167" fontId="0" fillId="0" borderId="0" xfId="0" applyNumberFormat="1" applyFont="1" applyBorder="1"/>
    <xf numFmtId="165" fontId="0" fillId="0" borderId="0" xfId="1" applyNumberFormat="1" applyFont="1" applyAlignment="1">
      <alignment vertical="center"/>
    </xf>
    <xf numFmtId="165" fontId="10" fillId="11" borderId="27" xfId="1" applyNumberFormat="1" applyFont="1" applyFill="1" applyBorder="1" applyAlignment="1" applyProtection="1">
      <alignment horizontal="right" vertical="center" wrapText="1"/>
      <protection hidden="1"/>
    </xf>
    <xf numFmtId="167" fontId="10" fillId="11" borderId="28" xfId="1" applyNumberFormat="1" applyFont="1" applyFill="1" applyBorder="1" applyAlignment="1" applyProtection="1">
      <alignment vertical="center" wrapText="1"/>
      <protection hidden="1"/>
    </xf>
    <xf numFmtId="0" fontId="0" fillId="7" borderId="0" xfId="0" applyFill="1" applyProtection="1">
      <protection hidden="1"/>
    </xf>
    <xf numFmtId="0" fontId="6" fillId="9" borderId="1" xfId="0" applyFont="1" applyFill="1" applyBorder="1" applyAlignment="1" applyProtection="1">
      <alignment horizontal="right" vertical="center"/>
      <protection locked="0"/>
    </xf>
    <xf numFmtId="0" fontId="8" fillId="8" borderId="4" xfId="0" applyFont="1" applyFill="1" applyBorder="1" applyAlignment="1" applyProtection="1">
      <alignment horizontal="center"/>
      <protection hidden="1"/>
    </xf>
    <xf numFmtId="0" fontId="8" fillId="8" borderId="5" xfId="0" applyFont="1" applyFill="1" applyBorder="1" applyAlignment="1" applyProtection="1">
      <alignment horizontal="center"/>
      <protection hidden="1"/>
    </xf>
    <xf numFmtId="0" fontId="8" fillId="8" borderId="6" xfId="0" applyFont="1" applyFill="1" applyBorder="1" applyAlignment="1" applyProtection="1">
      <alignment horizontal="center"/>
      <protection hidden="1"/>
    </xf>
    <xf numFmtId="0" fontId="7" fillId="7" borderId="7" xfId="0" applyFont="1" applyFill="1" applyBorder="1" applyAlignment="1" applyProtection="1">
      <alignment horizontal="center"/>
      <protection hidden="1"/>
    </xf>
    <xf numFmtId="0" fontId="7" fillId="7" borderId="0" xfId="0" applyFont="1" applyFill="1" applyAlignment="1" applyProtection="1">
      <alignment horizontal="center"/>
      <protection hidden="1"/>
    </xf>
    <xf numFmtId="0" fontId="7" fillId="7" borderId="8" xfId="0" applyFont="1" applyFill="1" applyBorder="1" applyAlignment="1" applyProtection="1">
      <alignment horizontal="center"/>
      <protection hidden="1"/>
    </xf>
    <xf numFmtId="0" fontId="6" fillId="7" borderId="17" xfId="0" applyFont="1" applyFill="1" applyBorder="1" applyAlignment="1" applyProtection="1">
      <alignment horizontal="center"/>
      <protection hidden="1"/>
    </xf>
    <xf numFmtId="0" fontId="6" fillId="7" borderId="0" xfId="0" applyFont="1" applyFill="1" applyAlignment="1" applyProtection="1">
      <alignment horizontal="center"/>
      <protection hidden="1"/>
    </xf>
    <xf numFmtId="0" fontId="7" fillId="7" borderId="0" xfId="0" applyFont="1" applyFill="1" applyAlignment="1" applyProtection="1">
      <alignment horizontal="right"/>
      <protection hidden="1"/>
    </xf>
    <xf numFmtId="0" fontId="7" fillId="7" borderId="8" xfId="0" applyFont="1" applyFill="1" applyBorder="1" applyAlignment="1" applyProtection="1">
      <alignment horizontal="right"/>
      <protection hidden="1"/>
    </xf>
    <xf numFmtId="0" fontId="9" fillId="11" borderId="22" xfId="0" applyFont="1" applyFill="1" applyBorder="1" applyAlignment="1" applyProtection="1">
      <alignment vertical="center" wrapText="1"/>
      <protection hidden="1"/>
    </xf>
    <xf numFmtId="0" fontId="9" fillId="11" borderId="23" xfId="0" applyFont="1" applyFill="1" applyBorder="1" applyAlignment="1" applyProtection="1">
      <alignment vertical="center" wrapText="1"/>
      <protection hidden="1"/>
    </xf>
    <xf numFmtId="0" fontId="9" fillId="11" borderId="21" xfId="0" applyFont="1" applyFill="1" applyBorder="1" applyAlignment="1" applyProtection="1">
      <alignment horizontal="justify" vertical="center" wrapText="1"/>
      <protection hidden="1"/>
    </xf>
    <xf numFmtId="0" fontId="9" fillId="11" borderId="20" xfId="0" applyFont="1" applyFill="1" applyBorder="1" applyAlignment="1" applyProtection="1">
      <alignment horizontal="justify" vertical="center" wrapText="1"/>
      <protection hidden="1"/>
    </xf>
    <xf numFmtId="0" fontId="9" fillId="11" borderId="19" xfId="0" applyFont="1" applyFill="1" applyBorder="1" applyAlignment="1" applyProtection="1">
      <alignment horizontal="justify" vertical="center" wrapText="1"/>
      <protection hidden="1"/>
    </xf>
    <xf numFmtId="0" fontId="9" fillId="11" borderId="21" xfId="0" applyFont="1" applyFill="1" applyBorder="1" applyAlignment="1" applyProtection="1">
      <alignment vertical="center" wrapText="1"/>
      <protection hidden="1"/>
    </xf>
    <xf numFmtId="0" fontId="9" fillId="11" borderId="19" xfId="0" applyFont="1" applyFill="1" applyBorder="1" applyAlignment="1" applyProtection="1">
      <alignment vertical="center" wrapText="1"/>
      <protection hidden="1"/>
    </xf>
    <xf numFmtId="0" fontId="9" fillId="11" borderId="20" xfId="0" applyFont="1" applyFill="1" applyBorder="1" applyAlignment="1" applyProtection="1">
      <alignment vertical="center" wrapText="1"/>
      <protection hidden="1"/>
    </xf>
    <xf numFmtId="0" fontId="10" fillId="11" borderId="9" xfId="0" applyFont="1" applyFill="1" applyBorder="1" applyAlignment="1" applyProtection="1">
      <alignment vertical="center" wrapText="1"/>
      <protection hidden="1"/>
    </xf>
    <xf numFmtId="0" fontId="10" fillId="11" borderId="10" xfId="0" applyFont="1" applyFill="1" applyBorder="1" applyAlignment="1" applyProtection="1">
      <alignment vertical="center" wrapText="1"/>
      <protection hidden="1"/>
    </xf>
    <xf numFmtId="0" fontId="10" fillId="11" borderId="11" xfId="0" applyFont="1" applyFill="1" applyBorder="1" applyAlignment="1" applyProtection="1">
      <alignment vertical="center" wrapText="1"/>
      <protection hidden="1"/>
    </xf>
    <xf numFmtId="0" fontId="10" fillId="11" borderId="21" xfId="0" applyFont="1" applyFill="1" applyBorder="1" applyAlignment="1" applyProtection="1">
      <alignment vertical="center" wrapText="1"/>
      <protection hidden="1"/>
    </xf>
    <xf numFmtId="0" fontId="10" fillId="11" borderId="19" xfId="0" applyFont="1" applyFill="1" applyBorder="1" applyAlignment="1" applyProtection="1">
      <alignment vertical="center" wrapText="1"/>
      <protection hidden="1"/>
    </xf>
    <xf numFmtId="0" fontId="10" fillId="11" borderId="20" xfId="0" applyFont="1" applyFill="1" applyBorder="1" applyAlignment="1" applyProtection="1">
      <alignment vertical="center" wrapText="1"/>
      <protection hidden="1"/>
    </xf>
    <xf numFmtId="0" fontId="7" fillId="10" borderId="2" xfId="0" applyFont="1" applyFill="1" applyBorder="1" applyAlignment="1" applyProtection="1">
      <alignment horizontal="center"/>
      <protection hidden="1"/>
    </xf>
    <xf numFmtId="0" fontId="7" fillId="10" borderId="16" xfId="0" applyFont="1" applyFill="1" applyBorder="1" applyAlignment="1" applyProtection="1">
      <alignment horizontal="center"/>
      <protection hidden="1"/>
    </xf>
    <xf numFmtId="0" fontId="7" fillId="10" borderId="18" xfId="0" applyFont="1" applyFill="1" applyBorder="1" applyAlignment="1" applyProtection="1">
      <alignment horizontal="center"/>
      <protection hidden="1"/>
    </xf>
    <xf numFmtId="9" fontId="10" fillId="11" borderId="27" xfId="0" applyNumberFormat="1" applyFont="1" applyFill="1" applyBorder="1" applyAlignment="1" applyProtection="1">
      <alignment horizontal="center" vertical="center" wrapText="1"/>
      <protection hidden="1"/>
    </xf>
    <xf numFmtId="9" fontId="10" fillId="11" borderId="23" xfId="0" applyNumberFormat="1" applyFont="1" applyFill="1" applyBorder="1" applyAlignment="1" applyProtection="1">
      <alignment horizontal="center" vertical="center" wrapText="1"/>
      <protection hidden="1"/>
    </xf>
    <xf numFmtId="167" fontId="10" fillId="11" borderId="27" xfId="1" applyNumberFormat="1" applyFont="1" applyFill="1" applyBorder="1" applyAlignment="1" applyProtection="1">
      <alignment horizontal="right" vertical="center" wrapText="1"/>
      <protection hidden="1"/>
    </xf>
    <xf numFmtId="9" fontId="10" fillId="11" borderId="27" xfId="2" applyFont="1" applyFill="1" applyBorder="1" applyAlignment="1" applyProtection="1">
      <alignment horizontal="center" vertical="center" wrapText="1"/>
      <protection hidden="1"/>
    </xf>
    <xf numFmtId="167" fontId="10" fillId="11" borderId="27" xfId="1" applyNumberFormat="1" applyFont="1" applyFill="1" applyBorder="1" applyAlignment="1" applyProtection="1">
      <alignment horizontal="center" vertical="center" wrapText="1"/>
      <protection hidden="1"/>
    </xf>
    <xf numFmtId="0" fontId="10" fillId="11" borderId="4" xfId="0" applyFont="1" applyFill="1" applyBorder="1" applyAlignment="1" applyProtection="1">
      <alignment horizontal="left" vertical="center" wrapText="1"/>
      <protection hidden="1"/>
    </xf>
    <xf numFmtId="0" fontId="10" fillId="11" borderId="5" xfId="0" applyFont="1" applyFill="1" applyBorder="1" applyAlignment="1" applyProtection="1">
      <alignment horizontal="left" vertical="center" wrapText="1"/>
      <protection hidden="1"/>
    </xf>
    <xf numFmtId="0" fontId="10" fillId="11" borderId="6" xfId="0" applyFont="1" applyFill="1" applyBorder="1" applyAlignment="1" applyProtection="1">
      <alignment horizontal="left" vertical="center" wrapText="1"/>
      <protection hidden="1"/>
    </xf>
    <xf numFmtId="0" fontId="10" fillId="11" borderId="9" xfId="0" applyFont="1" applyFill="1" applyBorder="1" applyAlignment="1" applyProtection="1">
      <alignment horizontal="left" vertical="center" wrapText="1"/>
      <protection hidden="1"/>
    </xf>
    <xf numFmtId="0" fontId="10" fillId="11" borderId="10" xfId="0" applyFont="1" applyFill="1" applyBorder="1" applyAlignment="1" applyProtection="1">
      <alignment horizontal="left" vertical="center" wrapText="1"/>
      <protection hidden="1"/>
    </xf>
    <xf numFmtId="0" fontId="10" fillId="11" borderId="1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9C5B-5030-430E-B22D-ACD9F82A10A1}">
  <sheetPr codeName="Sheet1"/>
  <dimension ref="A1:K19"/>
  <sheetViews>
    <sheetView tabSelected="1" zoomScaleNormal="100" workbookViewId="0">
      <selection activeCell="C8" sqref="C8:H8"/>
    </sheetView>
  </sheetViews>
  <sheetFormatPr defaultRowHeight="15" x14ac:dyDescent="0.25"/>
  <cols>
    <col min="1" max="1" width="18.7109375" style="91" customWidth="1"/>
    <col min="2" max="2" width="19.5703125" style="91" customWidth="1"/>
    <col min="3" max="3" width="19" style="91" customWidth="1"/>
    <col min="4" max="4" width="13.7109375" style="91" customWidth="1"/>
    <col min="5" max="5" width="20.5703125" style="91" customWidth="1"/>
    <col min="6" max="6" width="16.140625" style="91" customWidth="1"/>
    <col min="7" max="7" width="14" style="91" customWidth="1"/>
    <col min="8" max="8" width="25.85546875" style="91" customWidth="1"/>
    <col min="9" max="9" width="11.85546875" style="91" customWidth="1"/>
    <col min="10" max="11" width="14" style="91" customWidth="1"/>
    <col min="12" max="16384" width="9.140625" style="91"/>
  </cols>
  <sheetData>
    <row r="1" spans="1:11" ht="15.75" x14ac:dyDescent="0.25">
      <c r="A1" s="93" t="s">
        <v>101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5.75" x14ac:dyDescent="0.25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15.75" x14ac:dyDescent="0.25">
      <c r="A3" s="64" t="s">
        <v>6</v>
      </c>
      <c r="B3" s="72" t="s">
        <v>104</v>
      </c>
      <c r="C3" s="66" t="s">
        <v>7</v>
      </c>
      <c r="D3" s="65">
        <v>500000</v>
      </c>
      <c r="E3" s="66" t="s">
        <v>83</v>
      </c>
      <c r="F3" s="65" t="s">
        <v>1</v>
      </c>
      <c r="G3" s="67"/>
      <c r="H3" s="67"/>
      <c r="I3" s="67"/>
      <c r="J3" s="67"/>
      <c r="K3" s="63"/>
    </row>
    <row r="4" spans="1:11" ht="15.75" x14ac:dyDescent="0.25">
      <c r="A4" s="117" t="s">
        <v>107</v>
      </c>
      <c r="B4" s="118"/>
      <c r="C4" s="118"/>
      <c r="D4" s="118"/>
      <c r="E4" s="118"/>
      <c r="F4" s="119"/>
      <c r="G4" s="67"/>
      <c r="H4" s="67"/>
      <c r="I4" s="67"/>
      <c r="J4" s="67"/>
      <c r="K4" s="63"/>
    </row>
    <row r="5" spans="1:11" ht="31.5" x14ac:dyDescent="0.25">
      <c r="A5" s="76" t="s">
        <v>84</v>
      </c>
      <c r="B5" s="92" t="s">
        <v>2</v>
      </c>
      <c r="C5" s="76" t="s">
        <v>10</v>
      </c>
      <c r="D5" s="92" t="s">
        <v>2</v>
      </c>
      <c r="E5" s="76" t="s">
        <v>108</v>
      </c>
      <c r="F5" s="92" t="s">
        <v>2</v>
      </c>
      <c r="G5" s="67"/>
      <c r="H5" s="67"/>
      <c r="I5" s="67"/>
      <c r="J5" s="67"/>
      <c r="K5" s="63"/>
    </row>
    <row r="6" spans="1:11" ht="15.75" x14ac:dyDescent="0.25">
      <c r="A6" s="73" t="s">
        <v>86</v>
      </c>
      <c r="B6" s="74">
        <v>35</v>
      </c>
      <c r="C6" s="75" t="s">
        <v>87</v>
      </c>
      <c r="D6" s="74">
        <v>25</v>
      </c>
      <c r="E6" s="67"/>
      <c r="F6" s="67"/>
      <c r="G6" s="67"/>
      <c r="H6" s="67"/>
      <c r="I6" s="67"/>
      <c r="J6" s="67"/>
      <c r="K6" s="63"/>
    </row>
    <row r="7" spans="1:11" ht="15.75" x14ac:dyDescent="0.25">
      <c r="A7" s="64" t="s">
        <v>88</v>
      </c>
      <c r="B7" s="72"/>
      <c r="C7" s="66" t="s">
        <v>89</v>
      </c>
      <c r="D7" s="65"/>
      <c r="E7" s="67"/>
      <c r="F7" s="67"/>
      <c r="G7" s="67"/>
      <c r="H7" s="67"/>
      <c r="I7" s="67"/>
      <c r="J7" s="67"/>
      <c r="K7" s="63"/>
    </row>
    <row r="8" spans="1:11" ht="15.75" x14ac:dyDescent="0.25">
      <c r="A8" s="64" t="s">
        <v>90</v>
      </c>
      <c r="B8" s="65"/>
      <c r="C8" s="99" t="str">
        <f>Master!AS7</f>
        <v/>
      </c>
      <c r="D8" s="100"/>
      <c r="E8" s="100"/>
      <c r="F8" s="100"/>
      <c r="G8" s="100"/>
      <c r="H8" s="100"/>
      <c r="I8" s="101" t="s">
        <v>109</v>
      </c>
      <c r="J8" s="101"/>
      <c r="K8" s="102"/>
    </row>
    <row r="9" spans="1:11" ht="6.75" customHeight="1" thickBot="1" x14ac:dyDescent="0.3">
      <c r="A9" s="62"/>
      <c r="B9" s="67"/>
      <c r="C9" s="67"/>
      <c r="D9" s="67"/>
      <c r="E9" s="67"/>
      <c r="F9" s="67"/>
      <c r="G9" s="67"/>
      <c r="H9" s="67"/>
      <c r="I9" s="67"/>
      <c r="J9" s="67"/>
      <c r="K9" s="63"/>
    </row>
    <row r="10" spans="1:11" ht="45.75" customHeight="1" thickBot="1" x14ac:dyDescent="0.3">
      <c r="A10" s="103" t="s">
        <v>91</v>
      </c>
      <c r="B10" s="105" t="s">
        <v>92</v>
      </c>
      <c r="C10" s="106"/>
      <c r="D10" s="105" t="s">
        <v>93</v>
      </c>
      <c r="E10" s="107"/>
      <c r="F10" s="107"/>
      <c r="G10" s="106"/>
      <c r="H10" s="108" t="s">
        <v>94</v>
      </c>
      <c r="I10" s="109"/>
      <c r="J10" s="109"/>
      <c r="K10" s="110"/>
    </row>
    <row r="11" spans="1:11" ht="48" thickBot="1" x14ac:dyDescent="0.3">
      <c r="A11" s="104"/>
      <c r="B11" s="68" t="s">
        <v>95</v>
      </c>
      <c r="C11" s="68" t="s">
        <v>96</v>
      </c>
      <c r="D11" s="68" t="s">
        <v>95</v>
      </c>
      <c r="E11" s="69" t="s">
        <v>97</v>
      </c>
      <c r="F11" s="68" t="s">
        <v>98</v>
      </c>
      <c r="G11" s="68" t="s">
        <v>96</v>
      </c>
      <c r="H11" s="68" t="s">
        <v>99</v>
      </c>
      <c r="I11" s="68" t="s">
        <v>100</v>
      </c>
      <c r="J11" s="68" t="s">
        <v>98</v>
      </c>
      <c r="K11" s="70" t="s">
        <v>43</v>
      </c>
    </row>
    <row r="12" spans="1:11" ht="16.5" thickBot="1" x14ac:dyDescent="0.3">
      <c r="A12" s="81">
        <f>B6</f>
        <v>35</v>
      </c>
      <c r="B12" s="71">
        <f>Master!AG4</f>
        <v>3542</v>
      </c>
      <c r="C12" s="71">
        <f>IF(B6="",0,$D$3)</f>
        <v>500000</v>
      </c>
      <c r="D12" s="71">
        <f>Master!AG4</f>
        <v>3542</v>
      </c>
      <c r="E12" s="120" t="str">
        <f>IF(AND(COUNT(Master!X4:X8)&gt;=2,Sheet1!F3="1 year"),"Family Discount: 10%",IF(AND(COUNT(Master!X4:X8)&gt;=2,Sheet1!F3="2 years"),"Family Discount: 10% &amp; Long Term Discount: 7.5%",IF(AND(COUNT(Master!X4:X8)&gt;=2,Sheet1!F3="3 years"),"Family Discount: 10% &amp; Long Term Discount: 10%",IF(AND(COUNT(Master!X4:X8)=1,Sheet1!F3="1 year"),"0%",IF(AND(COUNT(Master!X4:X8)=1,Sheet1!F3="2 years"),"Long Term Discount: 7.5%","Long Term Discount: 10%")))))</f>
        <v>Family Discount: 10%</v>
      </c>
      <c r="F12" s="71">
        <f>Master!AJ4</f>
        <v>3187.8</v>
      </c>
      <c r="G12" s="71">
        <f>IF(B6="",0,$D$3)</f>
        <v>500000</v>
      </c>
      <c r="H12" s="122" t="str">
        <f>IF(Master!AE17="Available floater combinations - 1A1C, 1A2C, 1A3C, 2A, 2A1C, 2A2C or 2A3C","Available floater combinations - 1A1C, 1A2C, 1A3C, 2A, 2A1C, 2A2C or 2A3C","Base Plan Rs."&amp;" "&amp;Master!AM4&amp;"                                                                "&amp;"Optional Cover Rs."&amp;Master!AM5)</f>
        <v>Base Plan Rs. 5916                                                                Optional Cover Rs.0</v>
      </c>
      <c r="I12" s="123">
        <f>IF(Master!AE17="Available floater combinations - 1A1C, 1A2C, 1A3C, 2A, 2A1C, 2A2C or 2A3C",0%,Master!AE23)</f>
        <v>0.25</v>
      </c>
      <c r="J12" s="124">
        <f>IF(Master!AE17="Available floater combinations - 1A1C, 1A2C, 1A3C, 2A, 2A1C, 2A2C or 2A3C",0,Master!AO4)</f>
        <v>4437</v>
      </c>
      <c r="K12" s="124">
        <f>IF(Master!AE17="Available floater combinations - 1A1C, 1A2C, 1A3C, 2A, 2A1C, 2A2C or 2A3C",0,D3)</f>
        <v>500000</v>
      </c>
    </row>
    <row r="13" spans="1:11" ht="16.5" thickBot="1" x14ac:dyDescent="0.3">
      <c r="A13" s="81">
        <f>D6</f>
        <v>25</v>
      </c>
      <c r="B13" s="71">
        <f>Master!AG5</f>
        <v>2374</v>
      </c>
      <c r="C13" s="71">
        <f>IF(D6="",0,$D$3)</f>
        <v>500000</v>
      </c>
      <c r="D13" s="71">
        <f>Master!AG5</f>
        <v>2374</v>
      </c>
      <c r="E13" s="120"/>
      <c r="F13" s="71">
        <f>Master!AJ5</f>
        <v>2136.6</v>
      </c>
      <c r="G13" s="71">
        <f>IF(D6="",0,$D$3)</f>
        <v>500000</v>
      </c>
      <c r="H13" s="122"/>
      <c r="I13" s="123"/>
      <c r="J13" s="124"/>
      <c r="K13" s="124"/>
    </row>
    <row r="14" spans="1:11" ht="16.5" thickBot="1" x14ac:dyDescent="0.3">
      <c r="A14" s="81">
        <f>B7</f>
        <v>0</v>
      </c>
      <c r="B14" s="71">
        <f>Master!AG6</f>
        <v>0</v>
      </c>
      <c r="C14" s="71">
        <f>IF(B7="",0,$D$3)</f>
        <v>0</v>
      </c>
      <c r="D14" s="71">
        <f>Master!AG6</f>
        <v>0</v>
      </c>
      <c r="E14" s="120"/>
      <c r="F14" s="71">
        <f>Master!AJ6</f>
        <v>0</v>
      </c>
      <c r="G14" s="71">
        <f>IF(B7="",0,$D$3)</f>
        <v>0</v>
      </c>
      <c r="H14" s="122"/>
      <c r="I14" s="123"/>
      <c r="J14" s="124"/>
      <c r="K14" s="124"/>
    </row>
    <row r="15" spans="1:11" ht="16.5" thickBot="1" x14ac:dyDescent="0.3">
      <c r="A15" s="81">
        <f>D7</f>
        <v>0</v>
      </c>
      <c r="B15" s="71">
        <f>Master!AG7</f>
        <v>0</v>
      </c>
      <c r="C15" s="71">
        <f>IF(D7="",0,$D$3)</f>
        <v>0</v>
      </c>
      <c r="D15" s="71">
        <f>Master!AG7</f>
        <v>0</v>
      </c>
      <c r="E15" s="120"/>
      <c r="F15" s="71">
        <f>Master!AJ7</f>
        <v>0</v>
      </c>
      <c r="G15" s="71">
        <f>IF(D7="",0,$D$3)</f>
        <v>0</v>
      </c>
      <c r="H15" s="122"/>
      <c r="I15" s="123"/>
      <c r="J15" s="124"/>
      <c r="K15" s="124"/>
    </row>
    <row r="16" spans="1:11" ht="16.5" thickBot="1" x14ac:dyDescent="0.3">
      <c r="A16" s="89">
        <f>B8</f>
        <v>0</v>
      </c>
      <c r="B16" s="90">
        <f>Master!AG8</f>
        <v>0</v>
      </c>
      <c r="C16" s="90">
        <f>IF(B8="",0,$D$3)</f>
        <v>0</v>
      </c>
      <c r="D16" s="71">
        <f>Master!AG8</f>
        <v>0</v>
      </c>
      <c r="E16" s="121"/>
      <c r="F16" s="71">
        <f>Master!AJ8</f>
        <v>0</v>
      </c>
      <c r="G16" s="71">
        <f>IF(B8="",0,$D$3)</f>
        <v>0</v>
      </c>
      <c r="H16" s="122"/>
      <c r="I16" s="123"/>
      <c r="J16" s="124"/>
      <c r="K16" s="124"/>
    </row>
    <row r="17" spans="1:11" ht="33" customHeight="1" x14ac:dyDescent="0.25">
      <c r="A17" s="125" t="str">
        <f>Master!AP4</f>
        <v>Total Premium for all members of the family is, Rs. 5916 (excluding GST) when each member is covered separately.</v>
      </c>
      <c r="B17" s="126"/>
      <c r="C17" s="127"/>
      <c r="D17" s="125" t="str">
        <f>Master!AQ4</f>
        <v>Total Premium for all members of the family is, Rs. 5324 (excluding GST)  when they are covered under a single policy</v>
      </c>
      <c r="E17" s="126"/>
      <c r="F17" s="126"/>
      <c r="G17" s="126"/>
      <c r="H17" s="125" t="str">
        <f>Master!AR4</f>
        <v>Total Premium when policy is opted on floater basis is, Rs. 4437 (excluding GST)</v>
      </c>
      <c r="I17" s="126"/>
      <c r="J17" s="126"/>
      <c r="K17" s="127"/>
    </row>
    <row r="18" spans="1:11" ht="29.25" customHeight="1" thickBot="1" x14ac:dyDescent="0.3">
      <c r="A18" s="128" t="str">
        <f>IF(F3="1 year","","*Total premium shown above includes long term discount")</f>
        <v/>
      </c>
      <c r="B18" s="129"/>
      <c r="C18" s="130"/>
      <c r="D18" s="128"/>
      <c r="E18" s="129"/>
      <c r="F18" s="129"/>
      <c r="G18" s="129"/>
      <c r="H18" s="128" t="str">
        <f>IF(Master!AE17="Available floater combinations - 1A1C, 1A2C, 1A3C, 2A, 2A1C, 2A2C or 2A3C","",IF(Sheet1!F3="1 year","*Floater discount applies only to Base Plan premium","*Floater discount applies only to Base Plan premium &amp; consolidated premium shown above includes long term discount"))</f>
        <v>*Floater discount applies only to Base Plan premium</v>
      </c>
      <c r="I18" s="129"/>
      <c r="J18" s="129"/>
      <c r="K18" s="130"/>
    </row>
    <row r="19" spans="1:11" ht="16.5" thickBot="1" x14ac:dyDescent="0.3">
      <c r="A19" s="111" t="str">
        <f>Master!AP5</f>
        <v>Sum insured available for each individual is Rs. 500000</v>
      </c>
      <c r="B19" s="112"/>
      <c r="C19" s="113"/>
      <c r="D19" s="114" t="str">
        <f>Master!AQ5</f>
        <v>Sum insured available for each family member is Rs. 500000</v>
      </c>
      <c r="E19" s="115"/>
      <c r="F19" s="115"/>
      <c r="G19" s="116"/>
      <c r="H19" s="111" t="str">
        <f>Master!AR5</f>
        <v>Sum insured of Rs. 500000 is available for the entire family.</v>
      </c>
      <c r="I19" s="112"/>
      <c r="J19" s="112"/>
      <c r="K19" s="113"/>
    </row>
  </sheetData>
  <sheetProtection algorithmName="SHA-512" hashValue="uelVxDKMgxEt/E5XJbgAzWy6PP/xXa4Cxx9jjXwwc5zNYqL7D5GtO2cVWTwpJXnb5Ac85XdGDtXg3HOh05ijzg==" saltValue="mt19VcCCozH/RrYAjx+ycg==" spinCount="100000" sheet="1" objects="1" scenarios="1"/>
  <mergeCells count="22">
    <mergeCell ref="A19:C19"/>
    <mergeCell ref="D19:G19"/>
    <mergeCell ref="H19:K19"/>
    <mergeCell ref="A4:F4"/>
    <mergeCell ref="E12:E16"/>
    <mergeCell ref="H12:H16"/>
    <mergeCell ref="I12:I16"/>
    <mergeCell ref="J12:J16"/>
    <mergeCell ref="K12:K16"/>
    <mergeCell ref="A17:C17"/>
    <mergeCell ref="H17:K17"/>
    <mergeCell ref="A18:C18"/>
    <mergeCell ref="D17:G18"/>
    <mergeCell ref="H18:K18"/>
    <mergeCell ref="A1:K1"/>
    <mergeCell ref="A2:K2"/>
    <mergeCell ref="C8:H8"/>
    <mergeCell ref="I8:K8"/>
    <mergeCell ref="A10:A11"/>
    <mergeCell ref="B10:C10"/>
    <mergeCell ref="D10:G10"/>
    <mergeCell ref="H10:K10"/>
  </mergeCells>
  <conditionalFormatting sqref="H12:H16">
    <cfRule type="cellIs" dxfId="3" priority="4" operator="equal">
      <formula>"Available floater combinations - 1A1C, 1A2C, 1A3C, 2A, 2A1C, 2A2C or 2A3C"</formula>
    </cfRule>
  </conditionalFormatting>
  <conditionalFormatting sqref="C8">
    <cfRule type="cellIs" dxfId="2" priority="3" operator="equal">
      <formula>"Plan &amp; Sum Insured Mismatch! Select available amount from Sum Insured dropdown"</formula>
    </cfRule>
  </conditionalFormatting>
  <conditionalFormatting sqref="C8:H8">
    <cfRule type="cellIs" dxfId="1" priority="2" operator="equal">
      <formula>"Enhanced Cumulative Bonus not available for Secure Complete, Please select 'NA'"</formula>
    </cfRule>
    <cfRule type="cellIs" dxfId="0" priority="1" operator="equal">
      <formula>"Please select Yes/No from Enhanced Cumulative Bonus dropdown"</formula>
    </cfRule>
  </conditionalFormatting>
  <dataValidations count="1">
    <dataValidation type="list" allowBlank="1" showInputMessage="1" showErrorMessage="1" sqref="D3" xr:uid="{8E4B360A-ABF9-4173-A1DD-CCAD1CBAE6B8}">
      <formula1>IF($B$3="Secure Basic",Secure_Basic,IF($B$3="Secure Elite",Secure_Elite,IF($B$3="Secure Supreme",Secure_Supreme,Secure_Complete)))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7070E22-9E66-429E-837D-BDD12D5998A8}">
          <x14:formula1>
            <xm:f>'Drop down lists'!$J$2:$J$3</xm:f>
          </x14:formula1>
          <xm:sqref>B5 F5</xm:sqref>
        </x14:dataValidation>
        <x14:dataValidation type="list" allowBlank="1" showInputMessage="1" showErrorMessage="1" xr:uid="{44AF51E4-7581-4D7C-A467-5E2AF55D150A}">
          <x14:formula1>
            <xm:f>'Drop down lists'!$H$20:$H$67</xm:f>
          </x14:formula1>
          <xm:sqref>B6 D6</xm:sqref>
        </x14:dataValidation>
        <x14:dataValidation type="list" allowBlank="1" showInputMessage="1" showErrorMessage="1" xr:uid="{C80E0AAD-3D70-4108-810A-FA6D4DBD5677}">
          <x14:formula1>
            <xm:f>'Drop down lists'!$H$2:$H$27</xm:f>
          </x14:formula1>
          <xm:sqref>B7:B8 D7</xm:sqref>
        </x14:dataValidation>
        <x14:dataValidation type="list" allowBlank="1" showInputMessage="1" showErrorMessage="1" xr:uid="{6AEA41FC-8543-4398-BB16-26D10B06D779}">
          <x14:formula1>
            <xm:f>'Drop down lists'!$A$1:$A$4</xm:f>
          </x14:formula1>
          <xm:sqref>B3</xm:sqref>
        </x14:dataValidation>
        <x14:dataValidation type="list" allowBlank="1" showInputMessage="1" showErrorMessage="1" xr:uid="{44C9C4B6-1363-4722-B21A-0914BF3B047D}">
          <x14:formula1>
            <xm:f>IF($B$3="Secure Complete",'Drop down lists'!$K$2:$K$3,'Drop down lists'!$J$2:$J$3)</xm:f>
          </x14:formula1>
          <xm:sqref>D5</xm:sqref>
        </x14:dataValidation>
        <x14:dataValidation type="list" allowBlank="1" showInputMessage="1" showErrorMessage="1" xr:uid="{1D139005-A7CF-4FC7-BAF7-1759D733E123}">
          <x14:formula1>
            <xm:f>'Drop down lists'!$I$2:$I$4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67"/>
  <sheetViews>
    <sheetView workbookViewId="0">
      <selection activeCell="F1" sqref="F1:F7"/>
    </sheetView>
  </sheetViews>
  <sheetFormatPr defaultRowHeight="15" x14ac:dyDescent="0.25"/>
  <cols>
    <col min="1" max="1" width="16.85546875" bestFit="1" customWidth="1"/>
    <col min="8" max="8" width="11.85546875" bestFit="1" customWidth="1"/>
    <col min="9" max="9" width="12.5703125" bestFit="1" customWidth="1"/>
  </cols>
  <sheetData>
    <row r="1" spans="1:11" x14ac:dyDescent="0.25">
      <c r="A1" s="1" t="s">
        <v>102</v>
      </c>
      <c r="C1">
        <v>200000</v>
      </c>
      <c r="D1">
        <v>200000</v>
      </c>
      <c r="E1">
        <v>300000</v>
      </c>
      <c r="F1">
        <v>200000</v>
      </c>
      <c r="H1" s="18" t="s">
        <v>5</v>
      </c>
      <c r="I1" s="18" t="s">
        <v>0</v>
      </c>
    </row>
    <row r="2" spans="1:11" x14ac:dyDescent="0.25">
      <c r="A2" t="s">
        <v>103</v>
      </c>
      <c r="C2">
        <v>300000</v>
      </c>
      <c r="D2">
        <v>300000</v>
      </c>
      <c r="E2">
        <v>400000</v>
      </c>
      <c r="F2">
        <v>300000</v>
      </c>
      <c r="H2" t="s">
        <v>106</v>
      </c>
      <c r="I2" t="s">
        <v>1</v>
      </c>
      <c r="J2" t="s">
        <v>58</v>
      </c>
      <c r="K2" t="s">
        <v>28</v>
      </c>
    </row>
    <row r="3" spans="1:11" x14ac:dyDescent="0.25">
      <c r="A3" t="s">
        <v>104</v>
      </c>
      <c r="C3">
        <v>400000</v>
      </c>
      <c r="D3">
        <v>400000</v>
      </c>
      <c r="E3">
        <v>500000</v>
      </c>
      <c r="F3">
        <v>400000</v>
      </c>
      <c r="H3">
        <v>1</v>
      </c>
      <c r="I3" t="s">
        <v>29</v>
      </c>
      <c r="J3" t="s">
        <v>2</v>
      </c>
      <c r="K3" t="s">
        <v>28</v>
      </c>
    </row>
    <row r="4" spans="1:11" x14ac:dyDescent="0.25">
      <c r="A4" t="s">
        <v>105</v>
      </c>
      <c r="C4">
        <v>500000</v>
      </c>
      <c r="D4">
        <v>500000</v>
      </c>
      <c r="E4">
        <v>750000</v>
      </c>
      <c r="F4">
        <v>500000</v>
      </c>
      <c r="H4">
        <v>2</v>
      </c>
      <c r="I4" t="s">
        <v>30</v>
      </c>
    </row>
    <row r="5" spans="1:11" x14ac:dyDescent="0.25">
      <c r="D5">
        <v>750000</v>
      </c>
      <c r="E5">
        <v>1000000</v>
      </c>
      <c r="F5">
        <v>750000</v>
      </c>
      <c r="H5">
        <v>3</v>
      </c>
    </row>
    <row r="6" spans="1:11" x14ac:dyDescent="0.25">
      <c r="D6">
        <v>1000000</v>
      </c>
      <c r="F6">
        <v>1000000</v>
      </c>
      <c r="H6">
        <v>4</v>
      </c>
    </row>
    <row r="7" spans="1:11" x14ac:dyDescent="0.25">
      <c r="F7">
        <v>1500000</v>
      </c>
      <c r="H7">
        <v>5</v>
      </c>
    </row>
    <row r="8" spans="1:11" x14ac:dyDescent="0.25">
      <c r="H8">
        <v>6</v>
      </c>
    </row>
    <row r="9" spans="1:11" x14ac:dyDescent="0.25">
      <c r="H9">
        <v>7</v>
      </c>
    </row>
    <row r="10" spans="1:11" x14ac:dyDescent="0.25">
      <c r="H10">
        <v>8</v>
      </c>
    </row>
    <row r="11" spans="1:11" x14ac:dyDescent="0.25">
      <c r="H11">
        <v>9</v>
      </c>
    </row>
    <row r="12" spans="1:11" x14ac:dyDescent="0.25">
      <c r="H12">
        <v>10</v>
      </c>
    </row>
    <row r="13" spans="1:11" x14ac:dyDescent="0.25">
      <c r="H13">
        <v>11</v>
      </c>
    </row>
    <row r="14" spans="1:11" x14ac:dyDescent="0.25">
      <c r="H14">
        <v>12</v>
      </c>
    </row>
    <row r="15" spans="1:11" x14ac:dyDescent="0.25">
      <c r="H15">
        <v>13</v>
      </c>
    </row>
    <row r="16" spans="1:11" x14ac:dyDescent="0.25">
      <c r="H16">
        <v>14</v>
      </c>
    </row>
    <row r="17" spans="8:8" x14ac:dyDescent="0.25">
      <c r="H17">
        <v>15</v>
      </c>
    </row>
    <row r="18" spans="8:8" x14ac:dyDescent="0.25">
      <c r="H18">
        <v>16</v>
      </c>
    </row>
    <row r="19" spans="8:8" x14ac:dyDescent="0.25">
      <c r="H19">
        <v>17</v>
      </c>
    </row>
    <row r="20" spans="8:8" x14ac:dyDescent="0.25">
      <c r="H20">
        <v>18</v>
      </c>
    </row>
    <row r="21" spans="8:8" x14ac:dyDescent="0.25">
      <c r="H21">
        <v>19</v>
      </c>
    </row>
    <row r="22" spans="8:8" x14ac:dyDescent="0.25">
      <c r="H22">
        <v>20</v>
      </c>
    </row>
    <row r="23" spans="8:8" x14ac:dyDescent="0.25">
      <c r="H23">
        <v>21</v>
      </c>
    </row>
    <row r="24" spans="8:8" x14ac:dyDescent="0.25">
      <c r="H24">
        <v>22</v>
      </c>
    </row>
    <row r="25" spans="8:8" x14ac:dyDescent="0.25">
      <c r="H25">
        <v>23</v>
      </c>
    </row>
    <row r="26" spans="8:8" x14ac:dyDescent="0.25">
      <c r="H26">
        <v>24</v>
      </c>
    </row>
    <row r="27" spans="8:8" x14ac:dyDescent="0.25">
      <c r="H27">
        <v>25</v>
      </c>
    </row>
    <row r="28" spans="8:8" x14ac:dyDescent="0.25">
      <c r="H28">
        <v>26</v>
      </c>
    </row>
    <row r="29" spans="8:8" x14ac:dyDescent="0.25">
      <c r="H29">
        <v>27</v>
      </c>
    </row>
    <row r="30" spans="8:8" x14ac:dyDescent="0.25">
      <c r="H30">
        <v>28</v>
      </c>
    </row>
    <row r="31" spans="8:8" x14ac:dyDescent="0.25">
      <c r="H31">
        <v>29</v>
      </c>
    </row>
    <row r="32" spans="8:8" x14ac:dyDescent="0.25">
      <c r="H32">
        <v>30</v>
      </c>
    </row>
    <row r="33" spans="8:8" x14ac:dyDescent="0.25">
      <c r="H33">
        <v>31</v>
      </c>
    </row>
    <row r="34" spans="8:8" x14ac:dyDescent="0.25">
      <c r="H34">
        <v>32</v>
      </c>
    </row>
    <row r="35" spans="8:8" x14ac:dyDescent="0.25">
      <c r="H35">
        <v>33</v>
      </c>
    </row>
    <row r="36" spans="8:8" x14ac:dyDescent="0.25">
      <c r="H36">
        <v>34</v>
      </c>
    </row>
    <row r="37" spans="8:8" x14ac:dyDescent="0.25">
      <c r="H37">
        <v>35</v>
      </c>
    </row>
    <row r="38" spans="8:8" x14ac:dyDescent="0.25">
      <c r="H38">
        <v>36</v>
      </c>
    </row>
    <row r="39" spans="8:8" x14ac:dyDescent="0.25">
      <c r="H39">
        <v>37</v>
      </c>
    </row>
    <row r="40" spans="8:8" x14ac:dyDescent="0.25">
      <c r="H40">
        <v>38</v>
      </c>
    </row>
    <row r="41" spans="8:8" x14ac:dyDescent="0.25">
      <c r="H41">
        <v>39</v>
      </c>
    </row>
    <row r="42" spans="8:8" x14ac:dyDescent="0.25">
      <c r="H42">
        <v>40</v>
      </c>
    </row>
    <row r="43" spans="8:8" x14ac:dyDescent="0.25">
      <c r="H43">
        <v>41</v>
      </c>
    </row>
    <row r="44" spans="8:8" x14ac:dyDescent="0.25">
      <c r="H44">
        <v>42</v>
      </c>
    </row>
    <row r="45" spans="8:8" x14ac:dyDescent="0.25">
      <c r="H45">
        <v>43</v>
      </c>
    </row>
    <row r="46" spans="8:8" x14ac:dyDescent="0.25">
      <c r="H46">
        <v>44</v>
      </c>
    </row>
    <row r="47" spans="8:8" x14ac:dyDescent="0.25">
      <c r="H47">
        <v>45</v>
      </c>
    </row>
    <row r="48" spans="8:8" x14ac:dyDescent="0.25">
      <c r="H48">
        <v>46</v>
      </c>
    </row>
    <row r="49" spans="8:8" x14ac:dyDescent="0.25">
      <c r="H49">
        <v>47</v>
      </c>
    </row>
    <row r="50" spans="8:8" x14ac:dyDescent="0.25">
      <c r="H50">
        <v>48</v>
      </c>
    </row>
    <row r="51" spans="8:8" x14ac:dyDescent="0.25">
      <c r="H51">
        <v>49</v>
      </c>
    </row>
    <row r="52" spans="8:8" x14ac:dyDescent="0.25">
      <c r="H52">
        <v>50</v>
      </c>
    </row>
    <row r="53" spans="8:8" x14ac:dyDescent="0.25">
      <c r="H53">
        <v>51</v>
      </c>
    </row>
    <row r="54" spans="8:8" x14ac:dyDescent="0.25">
      <c r="H54">
        <v>52</v>
      </c>
    </row>
    <row r="55" spans="8:8" x14ac:dyDescent="0.25">
      <c r="H55">
        <v>53</v>
      </c>
    </row>
    <row r="56" spans="8:8" x14ac:dyDescent="0.25">
      <c r="H56">
        <v>54</v>
      </c>
    </row>
    <row r="57" spans="8:8" x14ac:dyDescent="0.25">
      <c r="H57">
        <v>55</v>
      </c>
    </row>
    <row r="58" spans="8:8" x14ac:dyDescent="0.25">
      <c r="H58">
        <v>56</v>
      </c>
    </row>
    <row r="59" spans="8:8" x14ac:dyDescent="0.25">
      <c r="H59">
        <v>57</v>
      </c>
    </row>
    <row r="60" spans="8:8" x14ac:dyDescent="0.25">
      <c r="H60">
        <v>58</v>
      </c>
    </row>
    <row r="61" spans="8:8" x14ac:dyDescent="0.25">
      <c r="H61">
        <v>59</v>
      </c>
    </row>
    <row r="62" spans="8:8" x14ac:dyDescent="0.25">
      <c r="H62">
        <v>60</v>
      </c>
    </row>
    <row r="63" spans="8:8" x14ac:dyDescent="0.25">
      <c r="H63">
        <v>61</v>
      </c>
    </row>
    <row r="64" spans="8:8" x14ac:dyDescent="0.25">
      <c r="H64">
        <v>62</v>
      </c>
    </row>
    <row r="65" spans="8:8" x14ac:dyDescent="0.25">
      <c r="H65">
        <v>63</v>
      </c>
    </row>
    <row r="66" spans="8:8" x14ac:dyDescent="0.25">
      <c r="H66">
        <v>64</v>
      </c>
    </row>
    <row r="67" spans="8:8" x14ac:dyDescent="0.25">
      <c r="H67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AS66"/>
  <sheetViews>
    <sheetView topLeftCell="AE1" zoomScale="90" zoomScaleNormal="90" workbookViewId="0">
      <selection activeCell="AQ5" sqref="AQ5"/>
    </sheetView>
  </sheetViews>
  <sheetFormatPr defaultRowHeight="15" x14ac:dyDescent="0.25"/>
  <cols>
    <col min="1" max="1" width="16.140625" style="1" bestFit="1" customWidth="1"/>
    <col min="2" max="5" width="7.5703125" style="1" customWidth="1"/>
    <col min="6" max="12" width="9.140625" style="1"/>
    <col min="13" max="13" width="23.42578125" style="1" bestFit="1" customWidth="1"/>
    <col min="14" max="14" width="17.140625" style="1" bestFit="1" customWidth="1"/>
    <col min="15" max="16" width="17.7109375" style="1" bestFit="1" customWidth="1"/>
    <col min="17" max="17" width="16.140625" style="1" bestFit="1" customWidth="1"/>
    <col min="18" max="18" width="24.140625" style="1" bestFit="1" customWidth="1"/>
    <col min="19" max="19" width="16.140625" style="1" bestFit="1" customWidth="1"/>
    <col min="20" max="20" width="20.42578125" style="1" bestFit="1" customWidth="1"/>
    <col min="21" max="21" width="13.85546875" style="1" customWidth="1"/>
    <col min="22" max="23" width="16.140625" style="1" bestFit="1" customWidth="1"/>
    <col min="24" max="24" width="11.28515625" style="1" customWidth="1"/>
    <col min="25" max="25" width="16.140625" style="1" bestFit="1" customWidth="1"/>
    <col min="26" max="26" width="17.85546875" style="1" bestFit="1" customWidth="1"/>
    <col min="27" max="27" width="20.7109375" style="1" bestFit="1" customWidth="1"/>
    <col min="28" max="28" width="11.140625" style="1" bestFit="1" customWidth="1"/>
    <col min="29" max="29" width="12" style="1" customWidth="1"/>
    <col min="30" max="30" width="13.42578125" style="1" customWidth="1"/>
    <col min="31" max="31" width="18.85546875" style="1" bestFit="1" customWidth="1"/>
    <col min="32" max="32" width="10" style="1" bestFit="1" customWidth="1"/>
    <col min="33" max="33" width="12.7109375" style="1" customWidth="1"/>
    <col min="34" max="34" width="12" style="1" customWidth="1"/>
    <col min="35" max="35" width="15.28515625" style="1" customWidth="1"/>
    <col min="36" max="36" width="15.140625" style="1" bestFit="1" customWidth="1"/>
    <col min="37" max="37" width="12.7109375" style="1" customWidth="1"/>
    <col min="38" max="38" width="10.7109375" style="1" bestFit="1" customWidth="1"/>
    <col min="39" max="39" width="27.140625" style="1" bestFit="1" customWidth="1"/>
    <col min="40" max="40" width="10.7109375" style="1" bestFit="1" customWidth="1"/>
    <col min="41" max="41" width="14" style="1" bestFit="1" customWidth="1"/>
    <col min="42" max="16384" width="9.140625" style="1"/>
  </cols>
  <sheetData>
    <row r="2" spans="1:45" x14ac:dyDescent="0.25">
      <c r="A2" s="1" t="s">
        <v>102</v>
      </c>
      <c r="V2" s="18" t="s">
        <v>24</v>
      </c>
    </row>
    <row r="3" spans="1:45" ht="45" x14ac:dyDescent="0.2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15" t="s">
        <v>82</v>
      </c>
      <c r="P3" s="1" t="s">
        <v>12</v>
      </c>
      <c r="R3" s="18" t="str">
        <f>AB3</f>
        <v>Base Premium</v>
      </c>
      <c r="V3" s="34" t="s">
        <v>3</v>
      </c>
      <c r="W3" s="34" t="s">
        <v>4</v>
      </c>
      <c r="X3" s="34" t="s">
        <v>5</v>
      </c>
      <c r="Y3" s="34" t="s">
        <v>25</v>
      </c>
      <c r="Z3" s="34" t="s">
        <v>43</v>
      </c>
      <c r="AA3" s="34" t="s">
        <v>31</v>
      </c>
      <c r="AB3" s="35" t="s">
        <v>26</v>
      </c>
      <c r="AC3" s="35" t="s">
        <v>49</v>
      </c>
      <c r="AD3" s="25" t="s">
        <v>10</v>
      </c>
      <c r="AE3" s="25" t="s">
        <v>11</v>
      </c>
      <c r="AF3" s="24" t="s">
        <v>9</v>
      </c>
      <c r="AG3" s="24" t="s">
        <v>59</v>
      </c>
      <c r="AH3" s="25" t="s">
        <v>110</v>
      </c>
      <c r="AI3" s="25" t="s">
        <v>111</v>
      </c>
      <c r="AJ3" s="25" t="s">
        <v>112</v>
      </c>
      <c r="AL3" s="85" t="s">
        <v>114</v>
      </c>
      <c r="AM3" s="85" t="s">
        <v>117</v>
      </c>
      <c r="AN3" s="85" t="s">
        <v>118</v>
      </c>
      <c r="AO3" s="85" t="s">
        <v>119</v>
      </c>
    </row>
    <row r="4" spans="1:45" x14ac:dyDescent="0.25">
      <c r="A4" s="17">
        <v>200000</v>
      </c>
      <c r="B4" s="3">
        <v>1495</v>
      </c>
      <c r="C4" s="3">
        <v>2125</v>
      </c>
      <c r="D4" s="3">
        <v>2683</v>
      </c>
      <c r="E4" s="3">
        <v>3582</v>
      </c>
      <c r="F4" s="3">
        <v>4515</v>
      </c>
      <c r="G4" s="3">
        <v>6024</v>
      </c>
      <c r="H4" s="3">
        <v>7674</v>
      </c>
      <c r="I4" s="3">
        <v>10559</v>
      </c>
      <c r="J4" s="3">
        <v>14131</v>
      </c>
      <c r="K4" s="3">
        <v>18236</v>
      </c>
      <c r="L4" s="3">
        <v>27493</v>
      </c>
      <c r="N4" s="14">
        <v>0.25</v>
      </c>
      <c r="O4" s="14">
        <v>25</v>
      </c>
      <c r="P4" s="15" t="s">
        <v>13</v>
      </c>
      <c r="R4" s="1" t="s">
        <v>1</v>
      </c>
      <c r="S4" s="1" t="s">
        <v>29</v>
      </c>
      <c r="T4" s="1" t="s">
        <v>30</v>
      </c>
      <c r="V4" s="36"/>
      <c r="W4" s="36">
        <f>IF(X4="","",1)</f>
        <v>1</v>
      </c>
      <c r="X4" s="78">
        <f>IF(Sheet1!B6="","",Sheet1!B6)</f>
        <v>35</v>
      </c>
      <c r="Y4" s="37" t="str">
        <f>IF(X4="","",IFERROR(LOOKUP(X4,Master!$N$4:$P$14),0))</f>
        <v>26 years - 35 years</v>
      </c>
      <c r="Z4" s="1">
        <f>IF(X4="","",Sheet1!$D$3)</f>
        <v>500000</v>
      </c>
      <c r="AA4" s="1" t="str">
        <f>Sheet1!$B$3&amp;Sheet1!$D$3</f>
        <v>Secure Supreme500000</v>
      </c>
      <c r="AB4" s="22">
        <f>IFERROR(IF(Sheet1!$F$3=Master!$R$4,Master!R5,IF(Sheet1!$F$3=Master!$S$4,Master!S5,IF(Sheet1!$F$3=Master!$T$4,Master!T5,0))),0)</f>
        <v>3542</v>
      </c>
      <c r="AD4" s="22">
        <f>IF(Sheet1!$B$3="Secure Complete",0,IF(Sheet1!$D$5="Yes",AH23,0))</f>
        <v>0</v>
      </c>
      <c r="AE4" s="22">
        <f>IF(Sheet1!$F$5="Yes",AK23,0)</f>
        <v>0</v>
      </c>
      <c r="AF4" s="22">
        <f>IFERROR(IF(Sheet1!$B$5="Yes",Master!V29,0),0)</f>
        <v>0</v>
      </c>
      <c r="AG4" s="22">
        <f t="shared" ref="AG4:AG10" si="0">SUM(AB4:AF4)</f>
        <v>3542</v>
      </c>
      <c r="AH4" s="133">
        <f>IF(Sheet1!F3="3 years",10%,IF(Sheet1!F3="2 years",7.5%,0%))</f>
        <v>0</v>
      </c>
      <c r="AI4" s="134">
        <f>IF(COUNT(X4:X8)&gt;=2,10%,0%)</f>
        <v>0.1</v>
      </c>
      <c r="AJ4" s="79">
        <f>AG4*(100%-$AI$4-$AH$4)</f>
        <v>3187.8</v>
      </c>
      <c r="AK4" s="1" t="s">
        <v>115</v>
      </c>
      <c r="AL4" s="82">
        <f>AB10</f>
        <v>5916</v>
      </c>
      <c r="AM4" s="87">
        <f>ROUND(AL4*(100%-$AH$4),0)</f>
        <v>5916</v>
      </c>
      <c r="AN4" s="79">
        <f>AM4*(100%-AE23)</f>
        <v>4437</v>
      </c>
      <c r="AO4" s="79">
        <f>IF(AE17="Available floater combinations - 1A1C, 1A2C, 1A3C, 2A, 2A1C, 2A2C or 2A3C",0,ROUND(AN4+AN5,0))</f>
        <v>4437</v>
      </c>
      <c r="AP4" t="str">
        <f>"Total Premium for all members of the family is, Rs."&amp;" "&amp;AH9&amp;" "&amp;"(excluding GST) when each member is covered separately."</f>
        <v>Total Premium for all members of the family is, Rs. 5916 (excluding GST) when each member is covered separately.</v>
      </c>
      <c r="AQ4" t="str">
        <f>"Total Premium for all members of the family is, Rs."&amp;" "&amp;AJ9&amp;" "&amp;"(excluding GST)  when they are covered under a single policy"</f>
        <v>Total Premium for all members of the family is, Rs. 5324 (excluding GST)  when they are covered under a single policy</v>
      </c>
      <c r="AR4" t="str">
        <f>"Total Premium when policy is opted on floater basis is, Rs."&amp;" "&amp;AO4&amp;" "&amp;"(excluding GST)"</f>
        <v>Total Premium when policy is opted on floater basis is, Rs. 4437 (excluding GST)</v>
      </c>
    </row>
    <row r="5" spans="1:45" x14ac:dyDescent="0.25">
      <c r="A5" s="17">
        <v>300000</v>
      </c>
      <c r="B5" s="3">
        <v>1613</v>
      </c>
      <c r="C5" s="3">
        <v>2358</v>
      </c>
      <c r="D5" s="3">
        <v>3014</v>
      </c>
      <c r="E5" s="3">
        <v>4069</v>
      </c>
      <c r="F5" s="3">
        <v>5183</v>
      </c>
      <c r="G5" s="3">
        <v>7099</v>
      </c>
      <c r="H5" s="3">
        <v>9161</v>
      </c>
      <c r="I5" s="3">
        <v>12651</v>
      </c>
      <c r="J5" s="3">
        <v>18168</v>
      </c>
      <c r="K5" s="3">
        <v>24465</v>
      </c>
      <c r="L5" s="3">
        <v>38921</v>
      </c>
      <c r="N5" s="16">
        <v>26</v>
      </c>
      <c r="O5" s="16">
        <v>35</v>
      </c>
      <c r="P5" s="15" t="s">
        <v>14</v>
      </c>
      <c r="R5" s="38">
        <f>IFERROR(INDEX($M$36:$X$59,MATCH(AA4,$M$36:$M$59,0),MATCH(Y4,$M$36:$X$36,0)),0)</f>
        <v>3542</v>
      </c>
      <c r="S5" s="20">
        <f>R5*$S$12</f>
        <v>7084</v>
      </c>
      <c r="T5" s="20">
        <f>R5*$T$12</f>
        <v>10626</v>
      </c>
      <c r="V5" s="36"/>
      <c r="W5" s="36">
        <f t="shared" ref="W5:W8" si="1">IF(X5="","",1)</f>
        <v>1</v>
      </c>
      <c r="X5" s="78">
        <f>IF(Sheet1!D6="","",Sheet1!D6)</f>
        <v>25</v>
      </c>
      <c r="Y5" s="37" t="str">
        <f>IF(X5="","",IFERROR(LOOKUP(X5,Master!$N$4:$P$14),0))</f>
        <v>91 days - 25 years</v>
      </c>
      <c r="Z5" s="1">
        <f>IF(X5="","",Sheet1!$D$3)</f>
        <v>500000</v>
      </c>
      <c r="AA5" s="1" t="str">
        <f>Sheet1!$B$3&amp;Sheet1!$D$3</f>
        <v>Secure Supreme500000</v>
      </c>
      <c r="AB5" s="22">
        <f>IFERROR(IF(Sheet1!$F$3=Master!$R$4,Master!R6,IF(Sheet1!$F$3=Master!$S$4,Master!S6,IF(Sheet1!$F$3=Master!$T$4,Master!T6,0))),0)</f>
        <v>2374</v>
      </c>
      <c r="AD5" s="22">
        <f>IF(Sheet1!$B$3="Secure Complete",0,IF(Sheet1!$D$5="Yes",AH24,0))</f>
        <v>0</v>
      </c>
      <c r="AE5" s="22">
        <f>IF(Sheet1!$F$5="Yes",AK24,0)</f>
        <v>0</v>
      </c>
      <c r="AF5" s="22">
        <f>IFERROR(IF(Sheet1!$B$5="Yes",Master!V30,0),0)</f>
        <v>0</v>
      </c>
      <c r="AG5" s="22">
        <f t="shared" si="0"/>
        <v>2374</v>
      </c>
      <c r="AH5" s="133"/>
      <c r="AI5" s="134"/>
      <c r="AJ5" s="79">
        <f t="shared" ref="AJ5:AJ8" si="2">AG5*(100%-$AI$4-$AH$4)</f>
        <v>2136.6</v>
      </c>
      <c r="AK5" s="1" t="s">
        <v>116</v>
      </c>
      <c r="AL5" s="86">
        <f>SUM(AD10:AF10)</f>
        <v>0</v>
      </c>
      <c r="AM5" s="87">
        <f>ROUND(AL5*(100%-$AH$4),0)</f>
        <v>0</v>
      </c>
      <c r="AN5" s="79">
        <f>AM5</f>
        <v>0</v>
      </c>
      <c r="AP5" t="str">
        <f>"Sum insured available for each individual is Rs."&amp;" "&amp;Sheet1!D3</f>
        <v>Sum insured available for each individual is Rs. 500000</v>
      </c>
      <c r="AQ5" t="str">
        <f>"Sum insured available for each family member is Rs."&amp;" "&amp;Sheet1!D3</f>
        <v>Sum insured available for each family member is Rs. 500000</v>
      </c>
      <c r="AR5" t="str">
        <f>"Sum insured of Rs."&amp;" "&amp;Sheet1!K12&amp;" "&amp;"is available for the entire family."</f>
        <v>Sum insured of Rs. 500000 is available for the entire family.</v>
      </c>
    </row>
    <row r="6" spans="1:45" x14ac:dyDescent="0.25">
      <c r="A6" s="17">
        <v>400000</v>
      </c>
      <c r="B6" s="3">
        <v>1710</v>
      </c>
      <c r="C6" s="3">
        <v>2525</v>
      </c>
      <c r="D6" s="3">
        <v>3234</v>
      </c>
      <c r="E6" s="3">
        <v>4373</v>
      </c>
      <c r="F6" s="3">
        <v>5576</v>
      </c>
      <c r="G6" s="3">
        <v>7588</v>
      </c>
      <c r="H6" s="3">
        <v>9807</v>
      </c>
      <c r="I6" s="3">
        <v>13571</v>
      </c>
      <c r="J6" s="3">
        <v>19593</v>
      </c>
      <c r="K6" s="3">
        <v>26541</v>
      </c>
      <c r="L6" s="3">
        <v>42223</v>
      </c>
      <c r="N6" s="16">
        <v>36</v>
      </c>
      <c r="O6" s="16">
        <v>40</v>
      </c>
      <c r="P6" s="15" t="s">
        <v>15</v>
      </c>
      <c r="R6" s="38">
        <f>IFERROR(INDEX($M$36:$X$59,MATCH(AA5,$M$36:$M$59,0),MATCH(Y5,$M$36:$X$36,0)),0)</f>
        <v>2374</v>
      </c>
      <c r="S6" s="20">
        <f>R6*$S$12</f>
        <v>4748</v>
      </c>
      <c r="T6" s="20">
        <f>R6*$T$12</f>
        <v>7122</v>
      </c>
      <c r="V6" s="36"/>
      <c r="W6" s="36" t="str">
        <f t="shared" si="1"/>
        <v/>
      </c>
      <c r="X6" s="77" t="str">
        <f>IF(Sheet1!B7="","",IF(Sheet1!B7="3-11 Months",0.25,Sheet1!B7))</f>
        <v/>
      </c>
      <c r="Y6" s="37" t="str">
        <f>IF(X6="","",IFERROR(LOOKUP(X6,Master!$N$4:$P$14),0))</f>
        <v/>
      </c>
      <c r="Z6" s="1" t="str">
        <f>IF(X6="","",Sheet1!$D$3)</f>
        <v/>
      </c>
      <c r="AA6" s="1" t="str">
        <f>Sheet1!$B$3&amp;Sheet1!$D$3</f>
        <v>Secure Supreme500000</v>
      </c>
      <c r="AB6" s="22">
        <f>IFERROR(IF(Sheet1!$F$3=Master!$R$4,Master!R7,IF(Sheet1!$F$3=Master!$S$4,Master!S7,IF(Sheet1!$F$3=Master!$T$4,Master!T7,0))),0)</f>
        <v>0</v>
      </c>
      <c r="AD6" s="22">
        <f>IF(Sheet1!$B$3="Secure Complete",0,IF(Sheet1!$D$5="Yes",AH25,0))</f>
        <v>0</v>
      </c>
      <c r="AE6" s="22">
        <f>IF(Sheet1!$F$5="Yes",AK25,0)</f>
        <v>0</v>
      </c>
      <c r="AF6" s="22">
        <f>IFERROR(IF(Sheet1!$B$5="Yes",Master!V31,0),0)</f>
        <v>0</v>
      </c>
      <c r="AG6" s="22">
        <f t="shared" si="0"/>
        <v>0</v>
      </c>
      <c r="AH6" s="133"/>
      <c r="AI6" s="134"/>
      <c r="AJ6" s="79">
        <f t="shared" si="2"/>
        <v>0</v>
      </c>
      <c r="AL6" s="4"/>
      <c r="AM6" s="7"/>
    </row>
    <row r="7" spans="1:45" x14ac:dyDescent="0.25">
      <c r="A7" s="17">
        <v>500000</v>
      </c>
      <c r="B7" s="3">
        <v>1870</v>
      </c>
      <c r="C7" s="3">
        <v>2774</v>
      </c>
      <c r="D7" s="3">
        <v>3565</v>
      </c>
      <c r="E7" s="3">
        <v>4798</v>
      </c>
      <c r="F7" s="3">
        <v>6086</v>
      </c>
      <c r="G7" s="3">
        <v>8270</v>
      </c>
      <c r="H7" s="3">
        <v>10644</v>
      </c>
      <c r="I7" s="3">
        <v>14403</v>
      </c>
      <c r="J7" s="3">
        <v>21208</v>
      </c>
      <c r="K7" s="3">
        <v>28761</v>
      </c>
      <c r="L7" s="3">
        <v>45829</v>
      </c>
      <c r="N7" s="16">
        <v>41</v>
      </c>
      <c r="O7" s="16">
        <v>45</v>
      </c>
      <c r="P7" s="15" t="s">
        <v>16</v>
      </c>
      <c r="R7" s="38">
        <f>IFERROR(INDEX($M$36:$X$59,MATCH(AA6,$M$36:$M$59,0),MATCH(Y6,$M$36:$X$36,0)),0)</f>
        <v>0</v>
      </c>
      <c r="S7" s="20">
        <f>R7*$S$12</f>
        <v>0</v>
      </c>
      <c r="T7" s="20">
        <f>R7*$T$12</f>
        <v>0</v>
      </c>
      <c r="V7" s="36"/>
      <c r="W7" s="36" t="str">
        <f t="shared" si="1"/>
        <v/>
      </c>
      <c r="X7" s="77" t="str">
        <f>IF(Sheet1!D7="","",IF(Sheet1!D7="3-11 Months",0.25,Sheet1!D7))</f>
        <v/>
      </c>
      <c r="Y7" s="37" t="str">
        <f>IF(X7="","",IFERROR(LOOKUP(X7,Master!$N$4:$P$14),0))</f>
        <v/>
      </c>
      <c r="Z7" s="1" t="str">
        <f>IF(X7="","",Sheet1!$D$3)</f>
        <v/>
      </c>
      <c r="AA7" s="1" t="str">
        <f>Sheet1!$B$3&amp;Sheet1!$D$3</f>
        <v>Secure Supreme500000</v>
      </c>
      <c r="AB7" s="22">
        <f>IFERROR(IF(Sheet1!$F$3=Master!$R$4,Master!R8,IF(Sheet1!$F$3=Master!$S$4,Master!S8,IF(Sheet1!$F$3=Master!$T$4,Master!T8,0))),0)</f>
        <v>0</v>
      </c>
      <c r="AD7" s="22">
        <f>IF(Sheet1!$B$3="Secure Complete",0,IF(Sheet1!$D$5="Yes",AH26,0))</f>
        <v>0</v>
      </c>
      <c r="AE7" s="22">
        <f>IF(Sheet1!$F$5="Yes",AK26,0)</f>
        <v>0</v>
      </c>
      <c r="AF7" s="22">
        <f>IFERROR(IF(Sheet1!$B$5="Yes",Master!V32,0),0)</f>
        <v>0</v>
      </c>
      <c r="AG7" s="22">
        <f t="shared" si="0"/>
        <v>0</v>
      </c>
      <c r="AH7" s="133"/>
      <c r="AI7" s="134"/>
      <c r="AJ7" s="79">
        <f t="shared" si="2"/>
        <v>0</v>
      </c>
      <c r="AL7" s="7"/>
      <c r="AM7" s="80"/>
      <c r="AP7" s="18" t="s">
        <v>120</v>
      </c>
      <c r="AQ7" s="1" t="str">
        <f>IF(AND(Sheet1!B3="Secure Complete",Sheet1!D5="Yes"),"Enhanced Cumulative Bonus not available for Secure Complete, Please select 'NA'",IF(AND(Sheet1!B3&lt;&gt;"Secure Complete",Sheet1!D5="NA"),"Please select Yes/No from Enhanced Cumulative Bonus dropdown",""))</f>
        <v/>
      </c>
      <c r="AR7" s="1" t="str">
        <f>IF(AND(Sheet1!B3="Secure Basic",OR(Sheet1!D3=200000,Sheet1!D3=300000,Sheet1!D3=400000,Sheet1!D3=500000)),"",IF(AND(Sheet1!B3="Secure Elite",OR(Sheet1!D3=200000,Sheet1!D3=300000,Sheet1!D3=400000,Sheet1!D3=500000,Sheet1!D3=750000,Sheet1!D3=1000000)),"",IF(AND(Sheet1!B3="Secure Supreme",OR(Sheet1!D3=300000,Sheet1!D3=400000,Sheet1!D3=500000,Sheet1!D3=750000,Sheet1!D3=1000000)),"",IF(AND(Sheet1!B3="Secure Complete",OR(Sheet1!D3=200000,Sheet1!D3=300000,Sheet1!D3=400000,Sheet1!D3=500000,Sheet1!D3=750000,Sheet1!D3=1000000,Sheet1!D3=1500000)),"","Plan &amp; Sum Insured Mismatch! Select available amount from Sum Insured dropdown"))))</f>
        <v/>
      </c>
      <c r="AS7" s="1" t="str">
        <f>IF(AQ7&lt;&gt;"",AQ7,IF(AR7&lt;&gt;"",AR7,""))</f>
        <v/>
      </c>
    </row>
    <row r="8" spans="1:45" x14ac:dyDescent="0.25">
      <c r="A8" s="4"/>
      <c r="B8" s="5"/>
      <c r="C8" s="5"/>
      <c r="D8" s="5"/>
      <c r="E8" s="5"/>
      <c r="N8" s="16">
        <v>46</v>
      </c>
      <c r="O8" s="16">
        <v>50</v>
      </c>
      <c r="P8" s="15" t="s">
        <v>17</v>
      </c>
      <c r="R8" s="38">
        <f>IFERROR(INDEX($M$36:$X$59,MATCH(AA7,$M$36:$M$59,0),MATCH(Y7,$M$36:$X$36,0)),0)</f>
        <v>0</v>
      </c>
      <c r="S8" s="20">
        <f>R8*$S$12</f>
        <v>0</v>
      </c>
      <c r="T8" s="20">
        <f>R8*$T$12</f>
        <v>0</v>
      </c>
      <c r="V8" s="36"/>
      <c r="W8" s="36" t="str">
        <f t="shared" si="1"/>
        <v/>
      </c>
      <c r="X8" s="77" t="str">
        <f>IF(Sheet1!B8="","",IF(Sheet1!B8="3-11 Months",0.25,Sheet1!B8))</f>
        <v/>
      </c>
      <c r="Y8" s="37" t="str">
        <f>IF(X8="","",IFERROR(LOOKUP(X8,Master!$N$4:$P$14),0))</f>
        <v/>
      </c>
      <c r="Z8" s="1" t="str">
        <f>IF(X8="","",Sheet1!$D$3)</f>
        <v/>
      </c>
      <c r="AA8" s="1" t="str">
        <f>Sheet1!$B$3&amp;Sheet1!$D$3</f>
        <v>Secure Supreme500000</v>
      </c>
      <c r="AB8" s="22">
        <f>IFERROR(IF(Sheet1!$F$3=Master!$R$4,Master!R9,IF(Sheet1!$F$3=Master!$S$4,Master!S9,IF(Sheet1!$F$3=Master!$T$4,Master!T9,0))),0)</f>
        <v>0</v>
      </c>
      <c r="AD8" s="22">
        <f>IF(Sheet1!$B$3="Secure Complete",0,IF(Sheet1!$D$5="Yes",AH27,0))</f>
        <v>0</v>
      </c>
      <c r="AE8" s="22">
        <f>IF(Sheet1!$F$5="Yes",AK27,0)</f>
        <v>0</v>
      </c>
      <c r="AF8" s="22">
        <f>IFERROR(IF(Sheet1!$B$5="Yes",Master!V33,0),0)</f>
        <v>0</v>
      </c>
      <c r="AG8" s="22">
        <f t="shared" si="0"/>
        <v>0</v>
      </c>
      <c r="AH8" s="133"/>
      <c r="AI8" s="134"/>
      <c r="AJ8" s="79">
        <f t="shared" si="2"/>
        <v>0</v>
      </c>
      <c r="AL8" s="7"/>
      <c r="AM8" s="80"/>
    </row>
    <row r="9" spans="1:45" x14ac:dyDescent="0.25">
      <c r="A9" s="6" t="s">
        <v>103</v>
      </c>
      <c r="B9" s="5"/>
      <c r="C9" s="5"/>
      <c r="D9" s="5"/>
      <c r="E9" s="5"/>
      <c r="N9" s="16">
        <v>51</v>
      </c>
      <c r="O9" s="16">
        <v>55</v>
      </c>
      <c r="P9" s="15" t="s">
        <v>18</v>
      </c>
      <c r="R9" s="38">
        <f>IFERROR(INDEX($M$36:$X$59,MATCH(AA8,$M$36:$M$59,0),MATCH(Y8,$M$36:$X$36,0)),0)</f>
        <v>0</v>
      </c>
      <c r="S9" s="20">
        <f>R9*$S$12</f>
        <v>0</v>
      </c>
      <c r="T9" s="20">
        <f>R9*$T$12</f>
        <v>0</v>
      </c>
      <c r="AA9" s="39" t="s">
        <v>47</v>
      </c>
      <c r="AB9" s="22">
        <f>SUM(AB4:AB8)</f>
        <v>5916</v>
      </c>
      <c r="AD9" s="22">
        <f>SUM(AD4:AD8)</f>
        <v>0</v>
      </c>
      <c r="AE9" s="22">
        <f>SUM(AE4:AE8)</f>
        <v>0</v>
      </c>
      <c r="AF9" s="22">
        <f>SUM(AF4:AF8)</f>
        <v>0</v>
      </c>
      <c r="AG9" s="22">
        <f t="shared" si="0"/>
        <v>5916</v>
      </c>
      <c r="AH9" s="88">
        <f>ROUND(AG9*(100%-AH4),0)</f>
        <v>5916</v>
      </c>
      <c r="AI9" s="84"/>
      <c r="AJ9" s="79">
        <f>ROUND(SUM(AJ4:AJ8),0)</f>
        <v>5324</v>
      </c>
      <c r="AL9" s="7"/>
      <c r="AM9" s="80"/>
    </row>
    <row r="10" spans="1:45" x14ac:dyDescent="0.2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20</v>
      </c>
      <c r="J10" s="2" t="s">
        <v>21</v>
      </c>
      <c r="K10" s="2" t="s">
        <v>22</v>
      </c>
      <c r="L10" s="15" t="s">
        <v>82</v>
      </c>
      <c r="N10" s="15">
        <v>56</v>
      </c>
      <c r="O10" s="16">
        <v>60</v>
      </c>
      <c r="P10" s="15" t="s">
        <v>19</v>
      </c>
      <c r="AA10" s="40" t="s">
        <v>48</v>
      </c>
      <c r="AB10" s="22">
        <f>SUM(AB4:AB8)</f>
        <v>5916</v>
      </c>
      <c r="AC10" s="20">
        <f>-IF(COUNT(X4:X5)&gt;=1,Master!$AE$24,0)</f>
        <v>-1479</v>
      </c>
      <c r="AD10" s="22">
        <f>IF(Sheet1!$D$5="Yes",AH21,0)</f>
        <v>0</v>
      </c>
      <c r="AE10" s="22">
        <f>IF(Sheet1!F5="Yes",Master!AK21,0)</f>
        <v>0</v>
      </c>
      <c r="AF10" s="22">
        <f>IF(Sheet1!$B$5="Yes",Master!$S$29,0)</f>
        <v>0</v>
      </c>
      <c r="AG10" s="22">
        <f t="shared" si="0"/>
        <v>4437</v>
      </c>
      <c r="AH10" s="83"/>
      <c r="AI10" s="79"/>
      <c r="AJ10" s="79">
        <f>AG10*(100%-AH4)</f>
        <v>4437</v>
      </c>
      <c r="AK10" s="7"/>
      <c r="AL10" s="7"/>
      <c r="AM10" s="80"/>
    </row>
    <row r="11" spans="1:45" x14ac:dyDescent="0.25">
      <c r="A11" s="17">
        <v>200000</v>
      </c>
      <c r="B11" s="3">
        <v>1647</v>
      </c>
      <c r="C11" s="3">
        <v>2347</v>
      </c>
      <c r="D11" s="3">
        <v>2956</v>
      </c>
      <c r="E11" s="3">
        <v>4028</v>
      </c>
      <c r="F11" s="3">
        <v>5082</v>
      </c>
      <c r="G11" s="3">
        <v>6962</v>
      </c>
      <c r="H11" s="3">
        <v>8905</v>
      </c>
      <c r="I11" s="3">
        <v>13125</v>
      </c>
      <c r="J11" s="3">
        <v>17733</v>
      </c>
      <c r="K11" s="3">
        <v>23022</v>
      </c>
      <c r="L11" s="13">
        <v>34869</v>
      </c>
      <c r="N11" s="3">
        <v>61</v>
      </c>
      <c r="O11" s="16">
        <v>65</v>
      </c>
      <c r="P11" s="15" t="s">
        <v>20</v>
      </c>
      <c r="Q11" s="7" t="s">
        <v>79</v>
      </c>
      <c r="R11" s="1">
        <v>12</v>
      </c>
      <c r="S11" s="1">
        <f>R11*2</f>
        <v>24</v>
      </c>
      <c r="T11" s="1">
        <f>R11*3</f>
        <v>36</v>
      </c>
      <c r="U11" s="7"/>
      <c r="V11" s="7"/>
      <c r="AE11" s="28"/>
    </row>
    <row r="12" spans="1:45" x14ac:dyDescent="0.25">
      <c r="A12" s="17">
        <v>300000</v>
      </c>
      <c r="B12" s="3">
        <v>1775</v>
      </c>
      <c r="C12" s="3">
        <v>2601</v>
      </c>
      <c r="D12" s="3">
        <v>3315</v>
      </c>
      <c r="E12" s="3">
        <v>4568</v>
      </c>
      <c r="F12" s="3">
        <v>5824</v>
      </c>
      <c r="G12" s="3">
        <v>8214</v>
      </c>
      <c r="H12" s="3">
        <v>10637</v>
      </c>
      <c r="I12" s="3">
        <v>15806</v>
      </c>
      <c r="J12" s="3">
        <v>22915</v>
      </c>
      <c r="K12" s="3">
        <v>31020</v>
      </c>
      <c r="L12" s="13">
        <v>49524</v>
      </c>
      <c r="N12" s="3">
        <v>66</v>
      </c>
      <c r="O12" s="16">
        <v>70</v>
      </c>
      <c r="P12" s="15" t="s">
        <v>21</v>
      </c>
      <c r="Q12" s="7" t="s">
        <v>8</v>
      </c>
      <c r="R12" s="1">
        <v>1</v>
      </c>
      <c r="S12" s="41">
        <v>2</v>
      </c>
      <c r="T12" s="41">
        <v>3</v>
      </c>
      <c r="U12" s="7"/>
      <c r="AC12" s="79"/>
      <c r="AD12" s="28"/>
      <c r="AE12" s="28"/>
      <c r="AM12" s="32"/>
    </row>
    <row r="13" spans="1:45" x14ac:dyDescent="0.25">
      <c r="A13" s="17">
        <v>400000</v>
      </c>
      <c r="B13" s="3">
        <v>1880</v>
      </c>
      <c r="C13" s="3">
        <v>2782</v>
      </c>
      <c r="D13" s="3">
        <v>3555</v>
      </c>
      <c r="E13" s="3">
        <v>4906</v>
      </c>
      <c r="F13" s="3">
        <v>6261</v>
      </c>
      <c r="G13" s="3">
        <v>8783</v>
      </c>
      <c r="H13" s="3">
        <v>11390</v>
      </c>
      <c r="I13" s="3">
        <v>16986</v>
      </c>
      <c r="J13" s="3">
        <v>24744</v>
      </c>
      <c r="K13" s="3">
        <v>33686</v>
      </c>
      <c r="L13" s="13">
        <v>53757</v>
      </c>
      <c r="N13" s="3">
        <v>71</v>
      </c>
      <c r="O13" s="16">
        <v>75</v>
      </c>
      <c r="P13" s="15" t="s">
        <v>22</v>
      </c>
      <c r="Q13" s="7"/>
      <c r="R13" s="7"/>
      <c r="S13" s="7"/>
      <c r="T13" s="7"/>
      <c r="U13" s="7"/>
      <c r="AA13" s="132" t="s">
        <v>36</v>
      </c>
      <c r="AB13" s="132"/>
      <c r="AC13" s="79"/>
      <c r="AD13" s="28"/>
      <c r="AG13" s="24" t="s">
        <v>27</v>
      </c>
      <c r="AJ13" s="132" t="s">
        <v>57</v>
      </c>
      <c r="AK13" s="132"/>
      <c r="AM13" s="33">
        <f>IF($AJ$9=AM3,$AO$21,IF($AJ$9=AM4,AI9,IF($AJ$9=AM5,AI9,IF($AJ$9=AM6,AI9,IF($AJ$9=AM7,$AO$21,IF($AJ$9=AM8,AH10,IF($AJ$9=AM9,AH10,IF($AJ$9=AM10,AH10,0))))))))</f>
        <v>0</v>
      </c>
      <c r="AN13" s="1" t="s">
        <v>81</v>
      </c>
    </row>
    <row r="14" spans="1:45" x14ac:dyDescent="0.25">
      <c r="A14" s="17">
        <v>500000</v>
      </c>
      <c r="B14" s="3">
        <v>2054</v>
      </c>
      <c r="C14" s="3">
        <v>3054</v>
      </c>
      <c r="D14" s="3">
        <v>3914</v>
      </c>
      <c r="E14" s="3">
        <v>5378</v>
      </c>
      <c r="F14" s="3">
        <v>6829</v>
      </c>
      <c r="G14" s="3">
        <v>9577</v>
      </c>
      <c r="H14" s="3">
        <v>12366</v>
      </c>
      <c r="I14" s="3">
        <v>18053</v>
      </c>
      <c r="J14" s="3">
        <v>26817</v>
      </c>
      <c r="K14" s="3">
        <v>36537</v>
      </c>
      <c r="L14" s="13">
        <v>58381</v>
      </c>
      <c r="N14" s="3">
        <v>76</v>
      </c>
      <c r="O14" s="16">
        <v>100</v>
      </c>
      <c r="P14" s="15" t="s">
        <v>82</v>
      </c>
      <c r="Q14" s="7"/>
      <c r="R14" s="42" t="s">
        <v>32</v>
      </c>
      <c r="S14" s="17">
        <v>200000</v>
      </c>
      <c r="T14" s="17">
        <v>300000</v>
      </c>
      <c r="U14" s="17">
        <v>400000</v>
      </c>
      <c r="V14" s="17">
        <v>500000</v>
      </c>
      <c r="W14" s="17">
        <v>750000</v>
      </c>
      <c r="X14" s="17">
        <v>1000000</v>
      </c>
      <c r="Y14" s="55">
        <v>1500000</v>
      </c>
      <c r="AA14" s="53" t="s">
        <v>37</v>
      </c>
      <c r="AB14" s="19">
        <v>0.15</v>
      </c>
      <c r="AG14" s="43" t="s">
        <v>53</v>
      </c>
      <c r="AH14" s="44" t="s">
        <v>54</v>
      </c>
      <c r="AJ14" s="43" t="s">
        <v>53</v>
      </c>
      <c r="AK14" s="44" t="s">
        <v>54</v>
      </c>
    </row>
    <row r="15" spans="1:45" x14ac:dyDescent="0.25">
      <c r="A15" s="17">
        <v>750000</v>
      </c>
      <c r="B15" s="3">
        <v>2264</v>
      </c>
      <c r="C15" s="3">
        <v>3349</v>
      </c>
      <c r="D15" s="3">
        <v>4304</v>
      </c>
      <c r="E15" s="3">
        <v>5910</v>
      </c>
      <c r="F15" s="3">
        <v>7497</v>
      </c>
      <c r="G15" s="3">
        <v>10979</v>
      </c>
      <c r="H15" s="3">
        <v>14027</v>
      </c>
      <c r="I15" s="3">
        <v>19625</v>
      </c>
      <c r="J15" s="3">
        <v>28825</v>
      </c>
      <c r="K15" s="3">
        <v>39163</v>
      </c>
      <c r="L15" s="13">
        <v>62357</v>
      </c>
      <c r="P15" s="7"/>
      <c r="Q15" s="7"/>
      <c r="R15" s="15" t="s">
        <v>13</v>
      </c>
      <c r="S15" s="45">
        <v>0.12</v>
      </c>
      <c r="T15" s="45">
        <v>0.1</v>
      </c>
      <c r="U15" s="46">
        <v>7.4999999999999997E-2</v>
      </c>
      <c r="V15" s="45">
        <v>0.05</v>
      </c>
      <c r="W15" s="45">
        <v>0.02</v>
      </c>
      <c r="X15" s="45">
        <v>0.01</v>
      </c>
      <c r="Y15" s="45">
        <v>0.01</v>
      </c>
      <c r="AA15" s="53" t="s">
        <v>38</v>
      </c>
      <c r="AG15" s="2" t="s">
        <v>102</v>
      </c>
      <c r="AH15" s="45">
        <v>0.01</v>
      </c>
      <c r="AJ15" s="2" t="s">
        <v>102</v>
      </c>
      <c r="AK15" s="45">
        <v>0.25</v>
      </c>
      <c r="AM15" s="30" t="s">
        <v>73</v>
      </c>
      <c r="AN15" s="47"/>
      <c r="AO15" s="29" t="e">
        <f>IF(#REF!="Individual",Master!$AG$9,Master!$AG$10)</f>
        <v>#REF!</v>
      </c>
    </row>
    <row r="16" spans="1:45" x14ac:dyDescent="0.25">
      <c r="A16" s="17">
        <v>1000000</v>
      </c>
      <c r="B16" s="3">
        <v>2404</v>
      </c>
      <c r="C16" s="3">
        <v>3584</v>
      </c>
      <c r="D16" s="3">
        <v>4615</v>
      </c>
      <c r="E16" s="3">
        <v>6349</v>
      </c>
      <c r="F16" s="3">
        <v>8065</v>
      </c>
      <c r="G16" s="3">
        <v>11696</v>
      </c>
      <c r="H16" s="3">
        <v>14976</v>
      </c>
      <c r="I16" s="3">
        <v>20976</v>
      </c>
      <c r="J16" s="3">
        <v>30745</v>
      </c>
      <c r="K16" s="3">
        <v>41747</v>
      </c>
      <c r="L16" s="13">
        <v>66460</v>
      </c>
      <c r="P16" s="4"/>
      <c r="Q16" s="4"/>
      <c r="R16" s="15" t="s">
        <v>14</v>
      </c>
      <c r="S16" s="45">
        <v>0.15</v>
      </c>
      <c r="T16" s="45">
        <v>0.12</v>
      </c>
      <c r="U16" s="45">
        <v>0.1</v>
      </c>
      <c r="V16" s="45">
        <v>0.05</v>
      </c>
      <c r="W16" s="45">
        <v>0.02</v>
      </c>
      <c r="X16" s="45">
        <v>0.01</v>
      </c>
      <c r="Y16" s="45">
        <v>0.01</v>
      </c>
      <c r="AA16" s="43" t="s">
        <v>34</v>
      </c>
      <c r="AB16" s="44" t="s">
        <v>35</v>
      </c>
      <c r="AG16" s="2" t="s">
        <v>103</v>
      </c>
      <c r="AH16" s="45">
        <v>0.02</v>
      </c>
      <c r="AJ16" s="2" t="s">
        <v>103</v>
      </c>
      <c r="AK16" s="46">
        <v>7.4999999999999997E-2</v>
      </c>
      <c r="AM16" s="31" t="s">
        <v>74</v>
      </c>
      <c r="AN16" s="23">
        <v>0</v>
      </c>
      <c r="AO16" s="12"/>
    </row>
    <row r="17" spans="1:41" x14ac:dyDescent="0.25">
      <c r="A17" s="4"/>
      <c r="B17" s="5"/>
      <c r="C17" s="5"/>
      <c r="D17" s="5"/>
      <c r="E17" s="5"/>
      <c r="J17" s="8"/>
      <c r="K17" s="9"/>
      <c r="L17" s="5"/>
      <c r="P17" s="5"/>
      <c r="Q17" s="5"/>
      <c r="R17" s="15" t="s">
        <v>15</v>
      </c>
      <c r="S17" s="45">
        <v>0.15</v>
      </c>
      <c r="T17" s="45">
        <v>0.12</v>
      </c>
      <c r="U17" s="45">
        <v>0.1</v>
      </c>
      <c r="V17" s="45">
        <v>0.05</v>
      </c>
      <c r="W17" s="45">
        <v>0.02</v>
      </c>
      <c r="X17" s="45">
        <v>0.01</v>
      </c>
      <c r="Y17" s="45">
        <v>0.01</v>
      </c>
      <c r="AA17" s="60" t="s">
        <v>13</v>
      </c>
      <c r="AB17" s="61">
        <v>0.25</v>
      </c>
      <c r="AD17" s="1" t="s">
        <v>113</v>
      </c>
      <c r="AE17" s="1" t="str">
        <f>IF(AND(SUM($W$4:$W$5)=1,SUM($W$6:$W$8)=1),"1A1C",IF(AND(SUM($W$4:$W$5)=1,SUM($W$6:$W$8)=2),"1A2C",IF(AND(SUM($W$4:$W$5)=1,SUM($W$6:$W$8)=3),"1A3C",IF(AND(SUM($W$4:$W$5)=2,SUM($W$6:$W$8)=0),"2A",IF(AND(SUM($W$4:$W$5)=2,SUM($W$6:$W$8)=1),"2A1C",IF(AND(SUM($W$4:$W$5)=2,SUM($W$6:$W$8)=2),"2A2C",IF(AND(SUM($W$4:$W$5)=2,SUM($W$6:$W$8)=3),"2A3C","Available floater combinations - 1A1C, 1A2C, 1A3C, 2A, 2A1C, 2A2C or 2A3C")))))))</f>
        <v>2A</v>
      </c>
      <c r="AG17" s="2" t="s">
        <v>104</v>
      </c>
      <c r="AH17" s="45">
        <v>0.04</v>
      </c>
      <c r="AJ17" s="2" t="s">
        <v>104</v>
      </c>
      <c r="AK17" s="45">
        <v>0.05</v>
      </c>
      <c r="AM17" s="31" t="s">
        <v>75</v>
      </c>
      <c r="AN17" s="12"/>
      <c r="AO17" s="29" t="e">
        <f>IF(AND(#REF!="Individual",#REF!&gt;=2,COUNT(#REF!)=#REF!),(-(10%*Master!AO15)),0)</f>
        <v>#REF!</v>
      </c>
    </row>
    <row r="18" spans="1:41" x14ac:dyDescent="0.25">
      <c r="A18" s="6" t="s">
        <v>104</v>
      </c>
      <c r="B18" s="5"/>
      <c r="C18" s="5"/>
      <c r="D18" s="5"/>
      <c r="E18" s="5"/>
      <c r="J18" s="10"/>
      <c r="K18" s="9"/>
      <c r="L18" s="5"/>
      <c r="P18" s="5"/>
      <c r="Q18" s="5"/>
      <c r="R18" s="15" t="s">
        <v>16</v>
      </c>
      <c r="S18" s="45">
        <v>0.2</v>
      </c>
      <c r="T18" s="45">
        <v>0.15</v>
      </c>
      <c r="U18" s="45">
        <v>0.12</v>
      </c>
      <c r="V18" s="46">
        <v>7.4999999999999997E-2</v>
      </c>
      <c r="W18" s="45">
        <v>0.05</v>
      </c>
      <c r="X18" s="45">
        <v>0.02</v>
      </c>
      <c r="Y18" s="45">
        <v>0.02</v>
      </c>
      <c r="AA18" s="15" t="s">
        <v>14</v>
      </c>
      <c r="AB18" s="56">
        <v>0.25</v>
      </c>
      <c r="AD18" s="18" t="s">
        <v>39</v>
      </c>
      <c r="AF18" s="18" t="s">
        <v>44</v>
      </c>
      <c r="AJ18" s="2" t="s">
        <v>105</v>
      </c>
      <c r="AK18" s="45">
        <v>0.05</v>
      </c>
      <c r="AM18" s="31" t="s">
        <v>76</v>
      </c>
      <c r="AN18" s="23" t="e">
        <f>IF(#REF!="Yes",10%,0%)</f>
        <v>#REF!</v>
      </c>
      <c r="AO18" s="29" t="e">
        <f>-AO15*AN18</f>
        <v>#REF!</v>
      </c>
    </row>
    <row r="19" spans="1:41" x14ac:dyDescent="0.25">
      <c r="A19" s="2" t="s">
        <v>12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17</v>
      </c>
      <c r="G19" s="2" t="s">
        <v>18</v>
      </c>
      <c r="H19" s="2" t="s">
        <v>19</v>
      </c>
      <c r="I19" s="2" t="s">
        <v>20</v>
      </c>
      <c r="J19" s="2" t="s">
        <v>21</v>
      </c>
      <c r="K19" s="2" t="s">
        <v>22</v>
      </c>
      <c r="L19" s="15" t="s">
        <v>82</v>
      </c>
      <c r="P19" s="5"/>
      <c r="Q19" s="5"/>
      <c r="R19" s="15" t="s">
        <v>17</v>
      </c>
      <c r="S19" s="45">
        <v>0.2</v>
      </c>
      <c r="T19" s="45">
        <v>0.15</v>
      </c>
      <c r="U19" s="45">
        <v>0.12</v>
      </c>
      <c r="V19" s="45">
        <v>0.1</v>
      </c>
      <c r="W19" s="45">
        <v>0.05</v>
      </c>
      <c r="X19" s="45">
        <v>0.02</v>
      </c>
      <c r="Y19" s="45">
        <v>0.02</v>
      </c>
      <c r="AA19" s="15" t="s">
        <v>15</v>
      </c>
      <c r="AB19" s="56">
        <v>0.25</v>
      </c>
      <c r="AD19" s="1" t="s">
        <v>40</v>
      </c>
      <c r="AE19" s="20">
        <f>MAX(X4:X8)</f>
        <v>35</v>
      </c>
      <c r="AF19" s="1">
        <f>COUNT(X6:X8)</f>
        <v>0</v>
      </c>
      <c r="AG19" s="48" t="s">
        <v>55</v>
      </c>
      <c r="AJ19" s="49" t="s">
        <v>55</v>
      </c>
      <c r="AK19" s="12"/>
      <c r="AM19" s="31" t="s">
        <v>77</v>
      </c>
      <c r="AN19" s="23">
        <v>0.1</v>
      </c>
      <c r="AO19" s="29" t="e">
        <f>IF(#REF!="Yes",-(Master!$AN$19*Master!$AO$15),0)</f>
        <v>#REF!</v>
      </c>
    </row>
    <row r="20" spans="1:41" x14ac:dyDescent="0.25">
      <c r="A20" s="17">
        <v>300000</v>
      </c>
      <c r="B20" s="3">
        <v>2049</v>
      </c>
      <c r="C20" s="3">
        <v>3015</v>
      </c>
      <c r="D20" s="3">
        <v>3847</v>
      </c>
      <c r="E20" s="3">
        <v>5427</v>
      </c>
      <c r="F20" s="3">
        <v>6927</v>
      </c>
      <c r="G20" s="3">
        <v>9479</v>
      </c>
      <c r="H20" s="3">
        <v>12304</v>
      </c>
      <c r="I20" s="3">
        <v>21180</v>
      </c>
      <c r="J20" s="3">
        <v>30976</v>
      </c>
      <c r="K20" s="3">
        <v>42198</v>
      </c>
      <c r="L20" s="13">
        <v>67884</v>
      </c>
      <c r="P20" s="5"/>
      <c r="Q20" s="5"/>
      <c r="R20" s="15" t="s">
        <v>18</v>
      </c>
      <c r="S20" s="45">
        <v>0.25</v>
      </c>
      <c r="T20" s="45">
        <v>0.2</v>
      </c>
      <c r="U20" s="45">
        <v>0.15</v>
      </c>
      <c r="V20" s="45">
        <v>0.1</v>
      </c>
      <c r="W20" s="46">
        <v>7.4999999999999997E-2</v>
      </c>
      <c r="X20" s="45">
        <v>0.05</v>
      </c>
      <c r="Y20" s="45">
        <v>0.05</v>
      </c>
      <c r="AA20" s="15" t="s">
        <v>16</v>
      </c>
      <c r="AB20" s="56">
        <v>0.25</v>
      </c>
      <c r="AD20" s="1" t="s">
        <v>7</v>
      </c>
      <c r="AE20" s="1">
        <f>Sheet1!D3</f>
        <v>500000</v>
      </c>
      <c r="AG20" s="6" t="s">
        <v>54</v>
      </c>
      <c r="AH20" s="19">
        <f>IFERROR(VLOOKUP(Sheet1!$B$3,Master!$AG$14:$AH$17,2,0),0)</f>
        <v>0.04</v>
      </c>
      <c r="AJ20" s="50" t="s">
        <v>50</v>
      </c>
      <c r="AK20" s="23">
        <f>IFERROR(VLOOKUP(Sheet1!$B$3,Master!$AJ$14:AK18,2,0),0)</f>
        <v>0.05</v>
      </c>
      <c r="AM20" s="31" t="s">
        <v>78</v>
      </c>
      <c r="AN20" s="12"/>
      <c r="AO20" s="29" t="e">
        <f>IF(#REF!="2 years",(-Master!$AB$31),IF(#REF!="3 years",(-Master!$AC$31),0))</f>
        <v>#REF!</v>
      </c>
    </row>
    <row r="21" spans="1:41" ht="30" x14ac:dyDescent="0.25">
      <c r="A21" s="17">
        <v>400000</v>
      </c>
      <c r="B21" s="3">
        <v>2171</v>
      </c>
      <c r="C21" s="3">
        <v>3225</v>
      </c>
      <c r="D21" s="3">
        <v>4125</v>
      </c>
      <c r="E21" s="3">
        <v>5829</v>
      </c>
      <c r="F21" s="3">
        <v>7447</v>
      </c>
      <c r="G21" s="3">
        <v>10141</v>
      </c>
      <c r="H21" s="3">
        <v>13180</v>
      </c>
      <c r="I21" s="3">
        <v>22815</v>
      </c>
      <c r="J21" s="3">
        <v>33506</v>
      </c>
      <c r="K21" s="3">
        <v>45887</v>
      </c>
      <c r="L21" s="3">
        <v>73744</v>
      </c>
      <c r="M21" s="5"/>
      <c r="N21" s="5"/>
      <c r="O21" s="5"/>
      <c r="P21" s="5"/>
      <c r="Q21" s="5"/>
      <c r="R21" s="15" t="s">
        <v>19</v>
      </c>
      <c r="S21" s="45">
        <v>0.25</v>
      </c>
      <c r="T21" s="45">
        <v>0.2</v>
      </c>
      <c r="U21" s="45">
        <v>0.15</v>
      </c>
      <c r="V21" s="45">
        <v>0.1</v>
      </c>
      <c r="W21" s="46">
        <v>7.4999999999999997E-2</v>
      </c>
      <c r="X21" s="45">
        <v>0.05</v>
      </c>
      <c r="Y21" s="45">
        <v>0.05</v>
      </c>
      <c r="AA21" s="15" t="s">
        <v>17</v>
      </c>
      <c r="AB21" s="56">
        <v>0.3</v>
      </c>
      <c r="AD21" s="57" t="s">
        <v>41</v>
      </c>
      <c r="AE21" s="58" t="str">
        <f>LOOKUP($AE$19,$N$4:$P$14)</f>
        <v>26 years - 35 years</v>
      </c>
      <c r="AG21" s="6" t="s">
        <v>56</v>
      </c>
      <c r="AH21" s="27">
        <f>$AH$20*$AB$10</f>
        <v>236.64000000000001</v>
      </c>
      <c r="AJ21" s="50" t="s">
        <v>51</v>
      </c>
      <c r="AK21" s="26">
        <f>$AK$20*$AB$10</f>
        <v>295.8</v>
      </c>
      <c r="AM21" s="31" t="s">
        <v>80</v>
      </c>
      <c r="AN21" s="12"/>
      <c r="AO21" s="51" t="e">
        <f>SUM(AO15:AO20)</f>
        <v>#REF!</v>
      </c>
    </row>
    <row r="22" spans="1:41" x14ac:dyDescent="0.25">
      <c r="A22" s="17">
        <v>500000</v>
      </c>
      <c r="B22" s="3">
        <v>2374</v>
      </c>
      <c r="C22" s="3">
        <v>3542</v>
      </c>
      <c r="D22" s="3">
        <v>4543</v>
      </c>
      <c r="E22" s="3">
        <v>6393</v>
      </c>
      <c r="F22" s="3">
        <v>8124</v>
      </c>
      <c r="G22" s="3">
        <v>11064</v>
      </c>
      <c r="H22" s="3">
        <v>14313</v>
      </c>
      <c r="I22" s="3">
        <v>24294</v>
      </c>
      <c r="J22" s="3">
        <v>36373</v>
      </c>
      <c r="K22" s="3">
        <v>49831</v>
      </c>
      <c r="L22" s="3">
        <v>80146</v>
      </c>
      <c r="M22" s="5"/>
      <c r="N22" s="5"/>
      <c r="O22" s="5"/>
      <c r="P22" s="5"/>
      <c r="Q22" s="5"/>
      <c r="R22" s="15" t="s">
        <v>20</v>
      </c>
      <c r="S22" s="45">
        <v>0.25</v>
      </c>
      <c r="T22" s="45">
        <v>0.2</v>
      </c>
      <c r="U22" s="45">
        <v>0.15</v>
      </c>
      <c r="V22" s="45">
        <v>0.1</v>
      </c>
      <c r="W22" s="46">
        <v>7.4999999999999997E-2</v>
      </c>
      <c r="X22" s="45">
        <v>0.05</v>
      </c>
      <c r="Y22" s="45">
        <v>0.05</v>
      </c>
      <c r="AA22" s="15" t="s">
        <v>18</v>
      </c>
      <c r="AB22" s="56">
        <v>0.35</v>
      </c>
      <c r="AD22" s="58" t="s">
        <v>42</v>
      </c>
      <c r="AE22" s="59">
        <f>IF(SUM(X4:X5)&gt;1,VLOOKUP($AE$21,$AA$16:$AB$27,2,0),0)</f>
        <v>0.25</v>
      </c>
      <c r="AF22" s="19">
        <f>AF19*15%</f>
        <v>0</v>
      </c>
      <c r="AG22" s="48" t="s">
        <v>72</v>
      </c>
      <c r="AJ22" s="49" t="s">
        <v>72</v>
      </c>
    </row>
    <row r="23" spans="1:41" x14ac:dyDescent="0.25">
      <c r="A23" s="17">
        <v>750000</v>
      </c>
      <c r="B23" s="3">
        <v>2667</v>
      </c>
      <c r="C23" s="3">
        <v>3945</v>
      </c>
      <c r="D23" s="3">
        <v>5062</v>
      </c>
      <c r="E23" s="3">
        <v>7109</v>
      </c>
      <c r="F23" s="3">
        <v>9016</v>
      </c>
      <c r="G23" s="3">
        <v>12717</v>
      </c>
      <c r="H23" s="3">
        <v>16293</v>
      </c>
      <c r="I23" s="3">
        <v>26591</v>
      </c>
      <c r="J23" s="3">
        <v>39290</v>
      </c>
      <c r="K23" s="3">
        <v>53612</v>
      </c>
      <c r="L23" s="3">
        <v>85776</v>
      </c>
      <c r="R23" s="15" t="s">
        <v>21</v>
      </c>
      <c r="S23" s="45">
        <v>0.35</v>
      </c>
      <c r="T23" s="45">
        <v>0.3</v>
      </c>
      <c r="U23" s="45">
        <v>0.2</v>
      </c>
      <c r="V23" s="45">
        <v>0.15</v>
      </c>
      <c r="W23" s="45">
        <v>0.1</v>
      </c>
      <c r="X23" s="46">
        <v>7.4999999999999997E-2</v>
      </c>
      <c r="Y23" s="46">
        <v>7.4999999999999997E-2</v>
      </c>
      <c r="AA23" s="15" t="s">
        <v>19</v>
      </c>
      <c r="AB23" s="56">
        <v>0.35</v>
      </c>
      <c r="AD23" s="1" t="s">
        <v>45</v>
      </c>
      <c r="AE23" s="19">
        <f>MIN(40%,SUM(AE22,AF22))</f>
        <v>0.25</v>
      </c>
      <c r="AG23" s="1">
        <v>1</v>
      </c>
      <c r="AH23" s="20">
        <f>$AH$20*AB4</f>
        <v>141.68</v>
      </c>
      <c r="AJ23" s="1">
        <v>1</v>
      </c>
      <c r="AK23" s="22">
        <f>$AK$20*AB4</f>
        <v>177.10000000000002</v>
      </c>
    </row>
    <row r="24" spans="1:41" x14ac:dyDescent="0.25">
      <c r="A24" s="17">
        <v>1000000</v>
      </c>
      <c r="B24" s="3">
        <v>2829</v>
      </c>
      <c r="C24" s="3">
        <v>4219</v>
      </c>
      <c r="D24" s="3">
        <v>5424</v>
      </c>
      <c r="E24" s="3">
        <v>7632</v>
      </c>
      <c r="F24" s="3">
        <v>9692</v>
      </c>
      <c r="G24" s="3">
        <v>13551</v>
      </c>
      <c r="H24" s="3">
        <v>17396</v>
      </c>
      <c r="I24" s="3">
        <v>28464</v>
      </c>
      <c r="J24" s="3">
        <v>41947</v>
      </c>
      <c r="K24" s="3">
        <v>57187</v>
      </c>
      <c r="L24" s="3">
        <v>91456</v>
      </c>
      <c r="R24" s="15" t="s">
        <v>22</v>
      </c>
      <c r="S24" s="45">
        <v>0.4</v>
      </c>
      <c r="T24" s="45">
        <v>0.35</v>
      </c>
      <c r="U24" s="45">
        <v>0.25</v>
      </c>
      <c r="V24" s="45">
        <v>0.2</v>
      </c>
      <c r="W24" s="45">
        <v>0.15</v>
      </c>
      <c r="X24" s="45">
        <v>0.1</v>
      </c>
      <c r="Y24" s="45">
        <v>0.1</v>
      </c>
      <c r="AA24" s="15" t="s">
        <v>20</v>
      </c>
      <c r="AB24" s="56">
        <v>0.35</v>
      </c>
      <c r="AD24" s="1" t="s">
        <v>46</v>
      </c>
      <c r="AE24" s="20">
        <f>$AE$23*$AB$10</f>
        <v>1479</v>
      </c>
      <c r="AG24" s="1">
        <v>2</v>
      </c>
      <c r="AH24" s="20">
        <f>$AH$20*AB5</f>
        <v>94.960000000000008</v>
      </c>
      <c r="AJ24" s="1">
        <v>2</v>
      </c>
      <c r="AK24" s="22">
        <f>$AK$20*AB5</f>
        <v>118.7</v>
      </c>
    </row>
    <row r="25" spans="1:41" x14ac:dyDescent="0.25">
      <c r="A25" s="17">
        <v>1500000</v>
      </c>
      <c r="B25" s="3">
        <v>3384</v>
      </c>
      <c r="C25" s="3">
        <v>5104</v>
      </c>
      <c r="D25" s="3">
        <v>6594</v>
      </c>
      <c r="E25" s="3">
        <v>9323</v>
      </c>
      <c r="F25" s="3">
        <v>11878</v>
      </c>
      <c r="G25" s="3">
        <v>16469</v>
      </c>
      <c r="H25" s="3">
        <v>21256</v>
      </c>
      <c r="I25" s="3">
        <v>35018</v>
      </c>
      <c r="J25" s="3">
        <v>52351</v>
      </c>
      <c r="K25" s="3">
        <v>72083</v>
      </c>
      <c r="L25" s="3">
        <v>116072</v>
      </c>
      <c r="R25" s="15" t="s">
        <v>82</v>
      </c>
      <c r="S25" s="45">
        <v>0.5</v>
      </c>
      <c r="T25" s="45">
        <v>0.4</v>
      </c>
      <c r="U25" s="45">
        <v>0.3</v>
      </c>
      <c r="V25" s="45">
        <v>0.25</v>
      </c>
      <c r="W25" s="45">
        <v>0.2</v>
      </c>
      <c r="X25" s="45">
        <v>0.15</v>
      </c>
      <c r="Y25" s="45">
        <v>0.15</v>
      </c>
      <c r="AA25" s="15" t="s">
        <v>21</v>
      </c>
      <c r="AB25" s="56">
        <v>0.35</v>
      </c>
      <c r="AG25" s="1">
        <v>3</v>
      </c>
      <c r="AH25" s="20">
        <f>$AH$20*AB6</f>
        <v>0</v>
      </c>
      <c r="AJ25" s="1">
        <v>3</v>
      </c>
      <c r="AK25" s="22">
        <f>$AK$20*AB6</f>
        <v>0</v>
      </c>
    </row>
    <row r="26" spans="1:41" x14ac:dyDescent="0.25">
      <c r="A26" s="4"/>
      <c r="B26" s="5"/>
      <c r="C26" s="5"/>
      <c r="D26" s="5"/>
      <c r="E26" s="5"/>
      <c r="F26" s="5"/>
      <c r="G26" s="5"/>
      <c r="AA26" s="15" t="s">
        <v>22</v>
      </c>
      <c r="AB26" s="56">
        <v>0.35</v>
      </c>
      <c r="AG26" s="1">
        <v>4</v>
      </c>
      <c r="AH26" s="20">
        <f>$AH$20*AB7</f>
        <v>0</v>
      </c>
      <c r="AJ26" s="1">
        <v>4</v>
      </c>
      <c r="AK26" s="22">
        <f>$AK$20*AB7</f>
        <v>0</v>
      </c>
    </row>
    <row r="27" spans="1:41" x14ac:dyDescent="0.25">
      <c r="A27" s="6" t="s">
        <v>105</v>
      </c>
      <c r="B27" s="5"/>
      <c r="C27" s="5"/>
      <c r="D27" s="5"/>
      <c r="E27" s="5"/>
      <c r="F27" s="5"/>
      <c r="G27" s="5"/>
      <c r="R27" s="6" t="s">
        <v>33</v>
      </c>
      <c r="T27" s="6" t="s">
        <v>52</v>
      </c>
      <c r="AA27" s="15" t="s">
        <v>82</v>
      </c>
      <c r="AB27" s="56">
        <v>0.35</v>
      </c>
      <c r="AG27" s="1">
        <v>5</v>
      </c>
      <c r="AH27" s="20">
        <f>$AH$20*AB8</f>
        <v>0</v>
      </c>
      <c r="AJ27" s="1">
        <v>5</v>
      </c>
      <c r="AK27" s="22">
        <f>$AK$20*AB8</f>
        <v>0</v>
      </c>
    </row>
    <row r="28" spans="1:41" x14ac:dyDescent="0.25">
      <c r="A28" s="2" t="s">
        <v>12</v>
      </c>
      <c r="B28" s="2" t="s">
        <v>13</v>
      </c>
      <c r="C28" s="2" t="s">
        <v>14</v>
      </c>
      <c r="D28" s="2" t="s">
        <v>15</v>
      </c>
      <c r="E28" s="2" t="s">
        <v>16</v>
      </c>
      <c r="F28" s="2" t="s">
        <v>17</v>
      </c>
      <c r="G28" s="2" t="s">
        <v>18</v>
      </c>
      <c r="H28" s="2" t="s">
        <v>19</v>
      </c>
      <c r="I28" s="2" t="s">
        <v>20</v>
      </c>
      <c r="J28" s="2" t="s">
        <v>21</v>
      </c>
      <c r="K28" s="2" t="s">
        <v>22</v>
      </c>
      <c r="L28" s="15" t="s">
        <v>82</v>
      </c>
      <c r="R28" s="21" t="s">
        <v>50</v>
      </c>
      <c r="S28" s="19">
        <f>VLOOKUP($AE$21,R14:Y25,MATCH($AE$20,$R$14:$Y$14,0),0)</f>
        <v>0.05</v>
      </c>
      <c r="T28" s="1" t="s">
        <v>3</v>
      </c>
      <c r="U28" s="1" t="s">
        <v>50</v>
      </c>
      <c r="V28" s="21" t="s">
        <v>51</v>
      </c>
    </row>
    <row r="29" spans="1:41" x14ac:dyDescent="0.25">
      <c r="A29" s="17">
        <v>200000</v>
      </c>
      <c r="B29" s="3">
        <v>1867</v>
      </c>
      <c r="C29" s="3">
        <v>2626</v>
      </c>
      <c r="D29" s="3">
        <v>3265</v>
      </c>
      <c r="E29" s="3">
        <v>4536</v>
      </c>
      <c r="F29" s="3">
        <v>5701</v>
      </c>
      <c r="G29" s="3">
        <v>7539</v>
      </c>
      <c r="H29" s="3">
        <v>9653</v>
      </c>
      <c r="I29" s="3">
        <v>14935</v>
      </c>
      <c r="J29" s="3">
        <v>20212</v>
      </c>
      <c r="K29" s="3">
        <v>26279</v>
      </c>
      <c r="L29" s="3">
        <v>40024</v>
      </c>
      <c r="R29" s="21" t="s">
        <v>51</v>
      </c>
      <c r="S29" s="20">
        <f>$S$28*SUM(AB10:AE10)</f>
        <v>221.85000000000002</v>
      </c>
      <c r="T29" s="1">
        <f>V4</f>
        <v>0</v>
      </c>
      <c r="U29" s="54">
        <f>IFERROR(VLOOKUP(Y4,$R$14:$Y$25,MATCH(Z4,$R$14:$Y$14,0),0),0)</f>
        <v>0.05</v>
      </c>
      <c r="V29" s="22">
        <f>U29*SUM(AB4:AE4)</f>
        <v>177.10000000000002</v>
      </c>
      <c r="AA29" s="48" t="s">
        <v>70</v>
      </c>
      <c r="AB29" s="19"/>
    </row>
    <row r="30" spans="1:41" x14ac:dyDescent="0.25">
      <c r="A30" s="17">
        <v>300000</v>
      </c>
      <c r="B30" s="3">
        <v>1997</v>
      </c>
      <c r="C30" s="3">
        <v>2882</v>
      </c>
      <c r="D30" s="3">
        <v>3629</v>
      </c>
      <c r="E30" s="3">
        <v>5096</v>
      </c>
      <c r="F30" s="3">
        <v>6470</v>
      </c>
      <c r="G30" s="3">
        <v>8805</v>
      </c>
      <c r="H30" s="3">
        <v>11405</v>
      </c>
      <c r="I30" s="3">
        <v>17833</v>
      </c>
      <c r="J30" s="3">
        <v>25803</v>
      </c>
      <c r="K30" s="3">
        <v>34910</v>
      </c>
      <c r="L30" s="3">
        <v>55848</v>
      </c>
      <c r="T30" s="1">
        <f>V5</f>
        <v>0</v>
      </c>
      <c r="U30" s="54">
        <f>IFERROR(VLOOKUP(Y5,$R$14:$Y$25,MATCH(Z5,$R$14:$Y$14,0),0),0)</f>
        <v>0.05</v>
      </c>
      <c r="V30" s="22">
        <f>U30*SUM(AB5:AE5)</f>
        <v>118.7</v>
      </c>
      <c r="AB30" s="1" t="s">
        <v>29</v>
      </c>
      <c r="AC30" s="1" t="s">
        <v>30</v>
      </c>
    </row>
    <row r="31" spans="1:41" x14ac:dyDescent="0.25">
      <c r="A31" s="17">
        <v>400000</v>
      </c>
      <c r="B31" s="3">
        <v>2103</v>
      </c>
      <c r="C31" s="3">
        <v>3066</v>
      </c>
      <c r="D31" s="3">
        <v>3871</v>
      </c>
      <c r="E31" s="3">
        <v>5446</v>
      </c>
      <c r="F31" s="3">
        <v>6923</v>
      </c>
      <c r="G31" s="3">
        <v>9381</v>
      </c>
      <c r="H31" s="3">
        <v>12166</v>
      </c>
      <c r="I31" s="3">
        <v>19109</v>
      </c>
      <c r="J31" s="3">
        <v>27777</v>
      </c>
      <c r="K31" s="3">
        <v>37787</v>
      </c>
      <c r="L31" s="3">
        <v>60419</v>
      </c>
      <c r="T31" s="1">
        <f>V6</f>
        <v>0</v>
      </c>
      <c r="U31" s="54">
        <f>IFERROR(VLOOKUP(Y6,$R$14:$Y$25,MATCH(Z6,$R$14:$Y$14,0),0),0)</f>
        <v>0</v>
      </c>
      <c r="V31" s="22">
        <f>U31*SUM(AB6:AE6)</f>
        <v>0</v>
      </c>
      <c r="AA31" s="1" t="s">
        <v>71</v>
      </c>
      <c r="AB31" s="20">
        <f>7.5%*AG10</f>
        <v>332.77499999999998</v>
      </c>
      <c r="AC31" s="20">
        <f>10%*AG10</f>
        <v>443.70000000000005</v>
      </c>
      <c r="AG31" s="48" t="s">
        <v>61</v>
      </c>
    </row>
    <row r="32" spans="1:41" x14ac:dyDescent="0.25">
      <c r="A32" s="17">
        <v>500000</v>
      </c>
      <c r="B32" s="3">
        <v>2280</v>
      </c>
      <c r="C32" s="3">
        <v>3341</v>
      </c>
      <c r="D32" s="3">
        <v>4235</v>
      </c>
      <c r="E32" s="3">
        <v>5936</v>
      </c>
      <c r="F32" s="3">
        <v>7512</v>
      </c>
      <c r="G32" s="3">
        <v>10184</v>
      </c>
      <c r="H32" s="3">
        <v>13152</v>
      </c>
      <c r="I32" s="3">
        <v>20262</v>
      </c>
      <c r="J32" s="3">
        <v>30013</v>
      </c>
      <c r="K32" s="3">
        <v>40863</v>
      </c>
      <c r="L32" s="3">
        <v>65413</v>
      </c>
      <c r="T32" s="1">
        <f>V7</f>
        <v>0</v>
      </c>
      <c r="U32" s="54">
        <f>IFERROR(VLOOKUP(Y7,$R$14:$Y$25,MATCH(Z7,$R$14:$Y$14,0),0),0)</f>
        <v>0</v>
      </c>
      <c r="V32" s="22">
        <f>U32*SUM(AB7:AE7)</f>
        <v>0</v>
      </c>
      <c r="AG32" s="43" t="s">
        <v>62</v>
      </c>
      <c r="AH32" s="44" t="s">
        <v>63</v>
      </c>
    </row>
    <row r="33" spans="1:35" x14ac:dyDescent="0.25">
      <c r="A33" s="17">
        <v>750000</v>
      </c>
      <c r="B33" s="3">
        <v>2492</v>
      </c>
      <c r="C33" s="3">
        <v>3639</v>
      </c>
      <c r="D33" s="3">
        <v>4628</v>
      </c>
      <c r="E33" s="3">
        <v>6483</v>
      </c>
      <c r="F33" s="3">
        <v>8199</v>
      </c>
      <c r="G33" s="3">
        <v>11594</v>
      </c>
      <c r="H33" s="3">
        <v>14825</v>
      </c>
      <c r="I33" s="3">
        <v>21943</v>
      </c>
      <c r="J33" s="3">
        <v>32160</v>
      </c>
      <c r="K33" s="3">
        <v>43677</v>
      </c>
      <c r="L33" s="3">
        <v>69688</v>
      </c>
      <c r="T33" s="1">
        <f>V8</f>
        <v>0</v>
      </c>
      <c r="U33" s="54">
        <f>IFERROR(VLOOKUP(Y8,$R$14:$Y$25,MATCH(Z8,$R$14:$Y$14,0),0),0)</f>
        <v>0</v>
      </c>
      <c r="V33" s="22">
        <f>U33*SUM(AB8:AE8)</f>
        <v>0</v>
      </c>
      <c r="AE33" s="12" t="s">
        <v>2</v>
      </c>
      <c r="AG33" s="12" t="s">
        <v>2</v>
      </c>
      <c r="AH33" s="45">
        <v>0</v>
      </c>
    </row>
    <row r="34" spans="1:35" x14ac:dyDescent="0.25">
      <c r="A34" s="17">
        <v>1000000</v>
      </c>
      <c r="B34" s="3">
        <v>2633</v>
      </c>
      <c r="C34" s="3">
        <v>3877</v>
      </c>
      <c r="D34" s="3">
        <v>4944</v>
      </c>
      <c r="E34" s="3">
        <v>6938</v>
      </c>
      <c r="F34" s="3">
        <v>8787</v>
      </c>
      <c r="G34" s="3">
        <v>12319</v>
      </c>
      <c r="H34" s="3">
        <v>15784</v>
      </c>
      <c r="I34" s="3">
        <v>23403</v>
      </c>
      <c r="J34" s="3">
        <v>34232</v>
      </c>
      <c r="K34" s="3">
        <v>46465</v>
      </c>
      <c r="L34" s="3">
        <v>74119</v>
      </c>
      <c r="N34" s="1" t="s">
        <v>23</v>
      </c>
      <c r="AE34" s="2" t="s">
        <v>60</v>
      </c>
      <c r="AG34" s="2" t="s">
        <v>60</v>
      </c>
      <c r="AH34" s="45">
        <v>0.02</v>
      </c>
    </row>
    <row r="35" spans="1:35" x14ac:dyDescent="0.25">
      <c r="A35" s="17">
        <v>1500000</v>
      </c>
      <c r="B35" s="3">
        <v>3116</v>
      </c>
      <c r="C35" s="3">
        <v>4647</v>
      </c>
      <c r="D35" s="3">
        <v>5962</v>
      </c>
      <c r="E35" s="3">
        <v>8409</v>
      </c>
      <c r="F35" s="3">
        <v>10689</v>
      </c>
      <c r="G35" s="3">
        <v>14858</v>
      </c>
      <c r="H35" s="3">
        <v>19143</v>
      </c>
      <c r="I35" s="3">
        <v>28515</v>
      </c>
      <c r="J35" s="3">
        <v>42348</v>
      </c>
      <c r="K35" s="3">
        <v>58084</v>
      </c>
      <c r="L35" s="3">
        <v>93319</v>
      </c>
      <c r="AE35" s="2" t="s">
        <v>64</v>
      </c>
      <c r="AG35" s="2" t="s">
        <v>64</v>
      </c>
      <c r="AH35" s="45">
        <v>0.04</v>
      </c>
    </row>
    <row r="36" spans="1:35" x14ac:dyDescent="0.25">
      <c r="M36" s="12" t="s">
        <v>25</v>
      </c>
      <c r="N36" s="2" t="s">
        <v>13</v>
      </c>
      <c r="O36" s="2" t="s">
        <v>14</v>
      </c>
      <c r="P36" s="2" t="s">
        <v>15</v>
      </c>
      <c r="Q36" s="2" t="s">
        <v>16</v>
      </c>
      <c r="R36" s="2" t="s">
        <v>17</v>
      </c>
      <c r="S36" s="2" t="s">
        <v>18</v>
      </c>
      <c r="T36" s="2" t="s">
        <v>19</v>
      </c>
      <c r="U36" s="2" t="s">
        <v>20</v>
      </c>
      <c r="V36" s="2" t="s">
        <v>21</v>
      </c>
      <c r="W36" s="2" t="s">
        <v>22</v>
      </c>
      <c r="X36" s="15" t="s">
        <v>82</v>
      </c>
      <c r="AG36" s="2" t="s">
        <v>65</v>
      </c>
      <c r="AH36" s="45">
        <v>0.05</v>
      </c>
    </row>
    <row r="37" spans="1:35" x14ac:dyDescent="0.25">
      <c r="M37" s="12" t="str">
        <f>$A$2&amp;A4</f>
        <v>Secure Basic200000</v>
      </c>
      <c r="N37" s="3">
        <v>1495</v>
      </c>
      <c r="O37" s="3">
        <v>2125</v>
      </c>
      <c r="P37" s="3">
        <v>2683</v>
      </c>
      <c r="Q37" s="3">
        <v>3582</v>
      </c>
      <c r="R37" s="3">
        <v>4515</v>
      </c>
      <c r="S37" s="3">
        <v>6024</v>
      </c>
      <c r="T37" s="3">
        <v>7674</v>
      </c>
      <c r="U37" s="3">
        <v>10559</v>
      </c>
      <c r="V37" s="3">
        <v>14131</v>
      </c>
      <c r="W37" s="3">
        <v>18236</v>
      </c>
      <c r="X37" s="3">
        <v>27493</v>
      </c>
    </row>
    <row r="38" spans="1:35" x14ac:dyDescent="0.25">
      <c r="A38" s="7"/>
      <c r="B38" s="131"/>
      <c r="C38" s="131"/>
      <c r="D38" s="131"/>
      <c r="E38" s="131"/>
      <c r="F38" s="131"/>
      <c r="G38" s="131"/>
      <c r="M38" s="12" t="str">
        <f>$A$2&amp;A5</f>
        <v>Secure Basic300000</v>
      </c>
      <c r="N38" s="3">
        <v>1613</v>
      </c>
      <c r="O38" s="3">
        <v>2358</v>
      </c>
      <c r="P38" s="3">
        <v>3014</v>
      </c>
      <c r="Q38" s="3">
        <v>4069</v>
      </c>
      <c r="R38" s="3">
        <v>5183</v>
      </c>
      <c r="S38" s="3">
        <v>7099</v>
      </c>
      <c r="T38" s="3">
        <v>9161</v>
      </c>
      <c r="U38" s="3">
        <v>12651</v>
      </c>
      <c r="V38" s="3">
        <v>18168</v>
      </c>
      <c r="W38" s="3">
        <v>24465</v>
      </c>
      <c r="X38" s="3">
        <v>38921</v>
      </c>
      <c r="AG38" s="6" t="s">
        <v>66</v>
      </c>
      <c r="AH38" s="19">
        <f>IFERROR(VLOOKUP(#REF!,Master!$AG$32:$AH$36,2,0),0)</f>
        <v>0</v>
      </c>
    </row>
    <row r="39" spans="1:35" x14ac:dyDescent="0.25">
      <c r="A39" s="10"/>
      <c r="B39" s="9"/>
      <c r="C39" s="9"/>
      <c r="D39" s="9"/>
      <c r="E39" s="9"/>
      <c r="F39" s="9"/>
      <c r="G39" s="9"/>
      <c r="M39" s="12" t="str">
        <f>$A$2&amp;A6</f>
        <v>Secure Basic400000</v>
      </c>
      <c r="N39" s="3">
        <v>1710</v>
      </c>
      <c r="O39" s="3">
        <v>2525</v>
      </c>
      <c r="P39" s="3">
        <v>3234</v>
      </c>
      <c r="Q39" s="3">
        <v>4373</v>
      </c>
      <c r="R39" s="3">
        <v>5576</v>
      </c>
      <c r="S39" s="3">
        <v>7588</v>
      </c>
      <c r="T39" s="3">
        <v>9807</v>
      </c>
      <c r="U39" s="3">
        <v>13571</v>
      </c>
      <c r="V39" s="3">
        <v>19593</v>
      </c>
      <c r="W39" s="3">
        <v>26541</v>
      </c>
      <c r="X39" s="3">
        <v>42223</v>
      </c>
      <c r="AH39" s="1" t="s">
        <v>51</v>
      </c>
      <c r="AI39" s="1" t="s">
        <v>69</v>
      </c>
    </row>
    <row r="40" spans="1:35" x14ac:dyDescent="0.25">
      <c r="A40" s="4"/>
      <c r="B40" s="5"/>
      <c r="C40" s="5"/>
      <c r="D40" s="5"/>
      <c r="E40" s="5"/>
      <c r="F40" s="5"/>
      <c r="G40" s="5"/>
      <c r="M40" s="12" t="str">
        <f>$A$2&amp;A7</f>
        <v>Secure Basic500000</v>
      </c>
      <c r="N40" s="3">
        <v>1870</v>
      </c>
      <c r="O40" s="3">
        <v>2774</v>
      </c>
      <c r="P40" s="3">
        <v>3565</v>
      </c>
      <c r="Q40" s="3">
        <v>4798</v>
      </c>
      <c r="R40" s="3">
        <v>6086</v>
      </c>
      <c r="S40" s="3">
        <v>8270</v>
      </c>
      <c r="T40" s="3">
        <v>10644</v>
      </c>
      <c r="U40" s="3">
        <v>14403</v>
      </c>
      <c r="V40" s="3">
        <v>21208</v>
      </c>
      <c r="W40" s="3">
        <v>28761</v>
      </c>
      <c r="X40" s="3">
        <v>45829</v>
      </c>
      <c r="AG40" s="52" t="s">
        <v>67</v>
      </c>
      <c r="AH40" s="28" t="e">
        <f>$AH$38*$AO$21</f>
        <v>#REF!</v>
      </c>
      <c r="AI40" s="28" t="e">
        <f>$AH$40+$AO$21</f>
        <v>#REF!</v>
      </c>
    </row>
    <row r="41" spans="1:35" x14ac:dyDescent="0.25">
      <c r="A41" s="4"/>
      <c r="B41" s="5"/>
      <c r="C41" s="5"/>
      <c r="D41" s="5"/>
      <c r="E41" s="5"/>
      <c r="F41" s="5"/>
      <c r="G41" s="5"/>
      <c r="M41" s="12" t="str">
        <f t="shared" ref="M41:M46" si="3">$A$9&amp;A11</f>
        <v>Secure Elite200000</v>
      </c>
      <c r="N41" s="3">
        <v>1647</v>
      </c>
      <c r="O41" s="3">
        <v>2347</v>
      </c>
      <c r="P41" s="3">
        <v>2956</v>
      </c>
      <c r="Q41" s="3">
        <v>4028</v>
      </c>
      <c r="R41" s="3">
        <v>5082</v>
      </c>
      <c r="S41" s="3">
        <v>6962</v>
      </c>
      <c r="T41" s="3">
        <v>8905</v>
      </c>
      <c r="U41" s="3">
        <v>13125</v>
      </c>
      <c r="V41" s="3">
        <v>17733</v>
      </c>
      <c r="W41" s="3">
        <v>23022</v>
      </c>
      <c r="X41" s="3">
        <v>34869</v>
      </c>
      <c r="AG41" s="52" t="s">
        <v>68</v>
      </c>
      <c r="AH41" s="28" t="e">
        <f>$AH$38*$AO$21</f>
        <v>#REF!</v>
      </c>
      <c r="AI41" s="28" t="e">
        <f>$AH$41+AO21</f>
        <v>#REF!</v>
      </c>
    </row>
    <row r="42" spans="1:35" x14ac:dyDescent="0.25">
      <c r="A42" s="4"/>
      <c r="B42" s="5"/>
      <c r="C42" s="5"/>
      <c r="D42" s="5"/>
      <c r="E42" s="5"/>
      <c r="F42" s="5"/>
      <c r="G42" s="5"/>
      <c r="M42" s="12" t="str">
        <f t="shared" si="3"/>
        <v>Secure Elite300000</v>
      </c>
      <c r="N42" s="3">
        <v>1775</v>
      </c>
      <c r="O42" s="3">
        <v>2601</v>
      </c>
      <c r="P42" s="3">
        <v>3315</v>
      </c>
      <c r="Q42" s="3">
        <v>4568</v>
      </c>
      <c r="R42" s="3">
        <v>5824</v>
      </c>
      <c r="S42" s="3">
        <v>8214</v>
      </c>
      <c r="T42" s="3">
        <v>10637</v>
      </c>
      <c r="U42" s="3">
        <v>15806</v>
      </c>
      <c r="V42" s="3">
        <v>22915</v>
      </c>
      <c r="W42" s="3">
        <v>31020</v>
      </c>
      <c r="X42" s="3">
        <v>49524</v>
      </c>
    </row>
    <row r="43" spans="1:35" x14ac:dyDescent="0.25">
      <c r="A43" s="4"/>
      <c r="B43" s="5"/>
      <c r="C43" s="5"/>
      <c r="D43" s="5"/>
      <c r="E43" s="5"/>
      <c r="F43" s="5"/>
      <c r="G43" s="5"/>
      <c r="M43" s="12" t="str">
        <f t="shared" si="3"/>
        <v>Secure Elite400000</v>
      </c>
      <c r="N43" s="3">
        <v>1880</v>
      </c>
      <c r="O43" s="3">
        <v>2782</v>
      </c>
      <c r="P43" s="3">
        <v>3555</v>
      </c>
      <c r="Q43" s="3">
        <v>4906</v>
      </c>
      <c r="R43" s="3">
        <v>6261</v>
      </c>
      <c r="S43" s="3">
        <v>8783</v>
      </c>
      <c r="T43" s="3">
        <v>11390</v>
      </c>
      <c r="U43" s="3">
        <v>16986</v>
      </c>
      <c r="V43" s="3">
        <v>24744</v>
      </c>
      <c r="W43" s="3">
        <v>33686</v>
      </c>
      <c r="X43" s="3">
        <v>53757</v>
      </c>
    </row>
    <row r="44" spans="1:35" x14ac:dyDescent="0.25">
      <c r="A44" s="4"/>
      <c r="B44" s="5"/>
      <c r="C44" s="5"/>
      <c r="D44" s="5"/>
      <c r="E44" s="5"/>
      <c r="F44" s="5"/>
      <c r="G44" s="5"/>
      <c r="M44" s="12" t="str">
        <f t="shared" si="3"/>
        <v>Secure Elite500000</v>
      </c>
      <c r="N44" s="3">
        <v>2054</v>
      </c>
      <c r="O44" s="3">
        <v>3054</v>
      </c>
      <c r="P44" s="3">
        <v>3914</v>
      </c>
      <c r="Q44" s="3">
        <v>5378</v>
      </c>
      <c r="R44" s="3">
        <v>6829</v>
      </c>
      <c r="S44" s="3">
        <v>9577</v>
      </c>
      <c r="T44" s="3">
        <v>12366</v>
      </c>
      <c r="U44" s="3">
        <v>18053</v>
      </c>
      <c r="V44" s="3">
        <v>26817</v>
      </c>
      <c r="W44" s="3">
        <v>36537</v>
      </c>
      <c r="X44" s="3">
        <v>58381</v>
      </c>
    </row>
    <row r="45" spans="1:35" x14ac:dyDescent="0.25">
      <c r="A45" s="4"/>
      <c r="B45" s="5"/>
      <c r="C45" s="5"/>
      <c r="D45" s="5"/>
      <c r="E45" s="5"/>
      <c r="F45" s="5"/>
      <c r="G45" s="5"/>
      <c r="M45" s="12" t="str">
        <f t="shared" si="3"/>
        <v>Secure Elite750000</v>
      </c>
      <c r="N45" s="3">
        <v>2264</v>
      </c>
      <c r="O45" s="3">
        <v>3349</v>
      </c>
      <c r="P45" s="3">
        <v>4304</v>
      </c>
      <c r="Q45" s="3">
        <v>5910</v>
      </c>
      <c r="R45" s="3">
        <v>7497</v>
      </c>
      <c r="S45" s="3">
        <v>10979</v>
      </c>
      <c r="T45" s="3">
        <v>14027</v>
      </c>
      <c r="U45" s="3">
        <v>19625</v>
      </c>
      <c r="V45" s="3">
        <v>28825</v>
      </c>
      <c r="W45" s="3">
        <v>39163</v>
      </c>
      <c r="X45" s="3">
        <v>62357</v>
      </c>
    </row>
    <row r="46" spans="1:35" x14ac:dyDescent="0.25">
      <c r="A46" s="4"/>
      <c r="B46" s="5"/>
      <c r="C46" s="5"/>
      <c r="D46" s="5"/>
      <c r="E46" s="5"/>
      <c r="F46" s="5"/>
      <c r="G46" s="5"/>
      <c r="M46" s="12" t="str">
        <f t="shared" si="3"/>
        <v>Secure Elite1000000</v>
      </c>
      <c r="N46" s="3">
        <v>2404</v>
      </c>
      <c r="O46" s="3">
        <v>3584</v>
      </c>
      <c r="P46" s="3">
        <v>4615</v>
      </c>
      <c r="Q46" s="3">
        <v>6349</v>
      </c>
      <c r="R46" s="3">
        <v>8065</v>
      </c>
      <c r="S46" s="3">
        <v>11696</v>
      </c>
      <c r="T46" s="3">
        <v>14976</v>
      </c>
      <c r="U46" s="3">
        <v>20976</v>
      </c>
      <c r="V46" s="3">
        <v>30745</v>
      </c>
      <c r="W46" s="3">
        <v>41747</v>
      </c>
      <c r="X46" s="3">
        <v>66460</v>
      </c>
    </row>
    <row r="47" spans="1:35" x14ac:dyDescent="0.25">
      <c r="A47" s="4"/>
      <c r="B47" s="5"/>
      <c r="C47" s="5"/>
      <c r="D47" s="5"/>
      <c r="E47" s="5"/>
      <c r="F47" s="5"/>
      <c r="G47" s="5"/>
      <c r="M47" s="12" t="str">
        <f t="shared" ref="M47:M52" si="4">$A$18&amp;A20</f>
        <v>Secure Supreme300000</v>
      </c>
      <c r="N47" s="3">
        <v>2049</v>
      </c>
      <c r="O47" s="3">
        <v>3015</v>
      </c>
      <c r="P47" s="3">
        <v>3847</v>
      </c>
      <c r="Q47" s="3">
        <v>5427</v>
      </c>
      <c r="R47" s="3">
        <v>6927</v>
      </c>
      <c r="S47" s="3">
        <v>9479</v>
      </c>
      <c r="T47" s="3">
        <v>12304</v>
      </c>
      <c r="U47" s="3">
        <v>21180</v>
      </c>
      <c r="V47" s="3">
        <v>30976</v>
      </c>
      <c r="W47" s="3">
        <v>42198</v>
      </c>
      <c r="X47" s="3">
        <v>67884</v>
      </c>
    </row>
    <row r="48" spans="1:35" x14ac:dyDescent="0.25">
      <c r="A48" s="4"/>
      <c r="B48" s="5"/>
      <c r="C48" s="5"/>
      <c r="D48" s="5"/>
      <c r="E48" s="5"/>
      <c r="F48" s="5"/>
      <c r="G48" s="5"/>
      <c r="M48" s="12" t="str">
        <f t="shared" si="4"/>
        <v>Secure Supreme400000</v>
      </c>
      <c r="N48" s="3">
        <v>2171</v>
      </c>
      <c r="O48" s="3">
        <v>3225</v>
      </c>
      <c r="P48" s="3">
        <v>4125</v>
      </c>
      <c r="Q48" s="3">
        <v>5829</v>
      </c>
      <c r="R48" s="3">
        <v>7447</v>
      </c>
      <c r="S48" s="3">
        <v>10141</v>
      </c>
      <c r="T48" s="3">
        <v>13180</v>
      </c>
      <c r="U48" s="3">
        <v>22815</v>
      </c>
      <c r="V48" s="3">
        <v>33506</v>
      </c>
      <c r="W48" s="3">
        <v>45887</v>
      </c>
      <c r="X48" s="3">
        <v>73744</v>
      </c>
    </row>
    <row r="49" spans="1:24" x14ac:dyDescent="0.25">
      <c r="A49" s="4"/>
      <c r="B49" s="5"/>
      <c r="C49" s="5"/>
      <c r="D49" s="5"/>
      <c r="E49" s="5"/>
      <c r="F49" s="5"/>
      <c r="G49" s="5"/>
      <c r="M49" s="12" t="str">
        <f t="shared" si="4"/>
        <v>Secure Supreme500000</v>
      </c>
      <c r="N49" s="3">
        <v>2374</v>
      </c>
      <c r="O49" s="3">
        <v>3542</v>
      </c>
      <c r="P49" s="3">
        <v>4543</v>
      </c>
      <c r="Q49" s="3">
        <v>6393</v>
      </c>
      <c r="R49" s="3">
        <v>8124</v>
      </c>
      <c r="S49" s="3">
        <v>11064</v>
      </c>
      <c r="T49" s="3">
        <v>14313</v>
      </c>
      <c r="U49" s="3">
        <v>24294</v>
      </c>
      <c r="V49" s="3">
        <v>36373</v>
      </c>
      <c r="W49" s="3">
        <v>49831</v>
      </c>
      <c r="X49" s="3">
        <v>80146</v>
      </c>
    </row>
    <row r="50" spans="1:24" x14ac:dyDescent="0.25">
      <c r="A50" s="4"/>
      <c r="B50" s="5"/>
      <c r="C50" s="5"/>
      <c r="D50" s="5"/>
      <c r="E50" s="5"/>
      <c r="F50" s="5"/>
      <c r="G50" s="5"/>
      <c r="M50" s="12" t="str">
        <f t="shared" si="4"/>
        <v>Secure Supreme750000</v>
      </c>
      <c r="N50" s="3">
        <v>2667</v>
      </c>
      <c r="O50" s="3">
        <v>3945</v>
      </c>
      <c r="P50" s="3">
        <v>5062</v>
      </c>
      <c r="Q50" s="3">
        <v>7109</v>
      </c>
      <c r="R50" s="3">
        <v>9016</v>
      </c>
      <c r="S50" s="3">
        <v>12717</v>
      </c>
      <c r="T50" s="3">
        <v>16293</v>
      </c>
      <c r="U50" s="3">
        <v>26591</v>
      </c>
      <c r="V50" s="3">
        <v>39290</v>
      </c>
      <c r="W50" s="3">
        <v>53612</v>
      </c>
      <c r="X50" s="3">
        <v>85776</v>
      </c>
    </row>
    <row r="51" spans="1:24" x14ac:dyDescent="0.25">
      <c r="M51" s="12" t="str">
        <f t="shared" si="4"/>
        <v>Secure Supreme1000000</v>
      </c>
      <c r="N51" s="3">
        <v>2829</v>
      </c>
      <c r="O51" s="3">
        <v>4219</v>
      </c>
      <c r="P51" s="3">
        <v>5424</v>
      </c>
      <c r="Q51" s="3">
        <v>7632</v>
      </c>
      <c r="R51" s="3">
        <v>9692</v>
      </c>
      <c r="S51" s="3">
        <v>13551</v>
      </c>
      <c r="T51" s="3">
        <v>17396</v>
      </c>
      <c r="U51" s="3">
        <v>28464</v>
      </c>
      <c r="V51" s="3">
        <v>41947</v>
      </c>
      <c r="W51" s="3">
        <v>57187</v>
      </c>
      <c r="X51" s="3">
        <v>91456</v>
      </c>
    </row>
    <row r="52" spans="1:24" x14ac:dyDescent="0.25">
      <c r="M52" s="12" t="str">
        <f t="shared" si="4"/>
        <v>Secure Supreme1500000</v>
      </c>
      <c r="N52" s="3">
        <v>3384</v>
      </c>
      <c r="O52" s="3">
        <v>5104</v>
      </c>
      <c r="P52" s="3">
        <v>6594</v>
      </c>
      <c r="Q52" s="3">
        <v>9323</v>
      </c>
      <c r="R52" s="3">
        <v>11878</v>
      </c>
      <c r="S52" s="3">
        <v>16469</v>
      </c>
      <c r="T52" s="3">
        <v>21256</v>
      </c>
      <c r="U52" s="3">
        <v>35018</v>
      </c>
      <c r="V52" s="3">
        <v>52351</v>
      </c>
      <c r="W52" s="3">
        <v>72083</v>
      </c>
      <c r="X52" s="3">
        <v>116072</v>
      </c>
    </row>
    <row r="53" spans="1:24" x14ac:dyDescent="0.25">
      <c r="M53" s="12" t="str">
        <f>$A$27&amp;A29</f>
        <v>Secure Complete200000</v>
      </c>
      <c r="N53" s="3">
        <v>1867</v>
      </c>
      <c r="O53" s="3">
        <v>2626</v>
      </c>
      <c r="P53" s="3">
        <v>3265</v>
      </c>
      <c r="Q53" s="3">
        <v>4536</v>
      </c>
      <c r="R53" s="3">
        <v>5701</v>
      </c>
      <c r="S53" s="3">
        <v>7539</v>
      </c>
      <c r="T53" s="3">
        <v>9653</v>
      </c>
      <c r="U53" s="3">
        <v>14935</v>
      </c>
      <c r="V53" s="3">
        <v>20212</v>
      </c>
      <c r="W53" s="3">
        <v>26279</v>
      </c>
      <c r="X53" s="3">
        <v>40024</v>
      </c>
    </row>
    <row r="54" spans="1:24" x14ac:dyDescent="0.25">
      <c r="A54" s="11"/>
      <c r="B54" s="11"/>
      <c r="C54" s="11"/>
      <c r="D54" s="11"/>
      <c r="E54" s="11"/>
      <c r="F54" s="11"/>
      <c r="G54" s="11"/>
      <c r="H54" s="11"/>
      <c r="M54" s="12" t="str">
        <f t="shared" ref="M54:M59" si="5">$A$27&amp;A30</f>
        <v>Secure Complete300000</v>
      </c>
      <c r="N54" s="3">
        <v>1997</v>
      </c>
      <c r="O54" s="3">
        <v>2882</v>
      </c>
      <c r="P54" s="3">
        <v>3629</v>
      </c>
      <c r="Q54" s="3">
        <v>5096</v>
      </c>
      <c r="R54" s="3">
        <v>6470</v>
      </c>
      <c r="S54" s="3">
        <v>8805</v>
      </c>
      <c r="T54" s="3">
        <v>11405</v>
      </c>
      <c r="U54" s="3">
        <v>17833</v>
      </c>
      <c r="V54" s="3">
        <v>25803</v>
      </c>
      <c r="W54" s="3">
        <v>34910</v>
      </c>
      <c r="X54" s="3">
        <v>55848</v>
      </c>
    </row>
    <row r="55" spans="1:24" x14ac:dyDescent="0.25">
      <c r="A55" s="11"/>
      <c r="B55" s="11"/>
      <c r="C55" s="11"/>
      <c r="D55" s="11"/>
      <c r="E55" s="11"/>
      <c r="F55" s="11"/>
      <c r="G55" s="11"/>
      <c r="H55" s="11"/>
      <c r="M55" s="12" t="str">
        <f t="shared" si="5"/>
        <v>Secure Complete400000</v>
      </c>
      <c r="N55" s="3">
        <v>2103</v>
      </c>
      <c r="O55" s="3">
        <v>3066</v>
      </c>
      <c r="P55" s="3">
        <v>3871</v>
      </c>
      <c r="Q55" s="3">
        <v>5446</v>
      </c>
      <c r="R55" s="3">
        <v>6923</v>
      </c>
      <c r="S55" s="3">
        <v>9381</v>
      </c>
      <c r="T55" s="3">
        <v>12166</v>
      </c>
      <c r="U55" s="3">
        <v>19109</v>
      </c>
      <c r="V55" s="3">
        <v>27777</v>
      </c>
      <c r="W55" s="3">
        <v>37787</v>
      </c>
      <c r="X55" s="3">
        <v>60419</v>
      </c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M56" s="12" t="str">
        <f t="shared" si="5"/>
        <v>Secure Complete500000</v>
      </c>
      <c r="N56" s="3">
        <v>2280</v>
      </c>
      <c r="O56" s="3">
        <v>3341</v>
      </c>
      <c r="P56" s="3">
        <v>4235</v>
      </c>
      <c r="Q56" s="3">
        <v>5936</v>
      </c>
      <c r="R56" s="3">
        <v>7512</v>
      </c>
      <c r="S56" s="3">
        <v>10184</v>
      </c>
      <c r="T56" s="3">
        <v>13152</v>
      </c>
      <c r="U56" s="3">
        <v>20262</v>
      </c>
      <c r="V56" s="3">
        <v>30013</v>
      </c>
      <c r="W56" s="3">
        <v>40863</v>
      </c>
      <c r="X56" s="3">
        <v>65413</v>
      </c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M57" s="12" t="str">
        <f t="shared" si="5"/>
        <v>Secure Complete750000</v>
      </c>
      <c r="N57" s="3">
        <v>2492</v>
      </c>
      <c r="O57" s="3">
        <v>3639</v>
      </c>
      <c r="P57" s="3">
        <v>4628</v>
      </c>
      <c r="Q57" s="3">
        <v>6483</v>
      </c>
      <c r="R57" s="3">
        <v>8199</v>
      </c>
      <c r="S57" s="3">
        <v>11594</v>
      </c>
      <c r="T57" s="3">
        <v>14825</v>
      </c>
      <c r="U57" s="3">
        <v>21943</v>
      </c>
      <c r="V57" s="3">
        <v>32160</v>
      </c>
      <c r="W57" s="3">
        <v>43677</v>
      </c>
      <c r="X57" s="3">
        <v>69688</v>
      </c>
    </row>
    <row r="58" spans="1:24" x14ac:dyDescent="0.25">
      <c r="A58" s="11"/>
      <c r="B58" s="11"/>
      <c r="C58" s="11"/>
      <c r="D58" s="11"/>
      <c r="E58" s="11"/>
      <c r="F58" s="11"/>
      <c r="G58" s="11"/>
      <c r="H58" s="11"/>
      <c r="M58" s="12" t="str">
        <f t="shared" si="5"/>
        <v>Secure Complete1000000</v>
      </c>
      <c r="N58" s="3">
        <v>2633</v>
      </c>
      <c r="O58" s="3">
        <v>3877</v>
      </c>
      <c r="P58" s="3">
        <v>4944</v>
      </c>
      <c r="Q58" s="3">
        <v>6938</v>
      </c>
      <c r="R58" s="3">
        <v>8787</v>
      </c>
      <c r="S58" s="3">
        <v>12319</v>
      </c>
      <c r="T58" s="3">
        <v>15784</v>
      </c>
      <c r="U58" s="3">
        <v>23403</v>
      </c>
      <c r="V58" s="3">
        <v>34232</v>
      </c>
      <c r="W58" s="3">
        <v>46465</v>
      </c>
      <c r="X58" s="3">
        <v>74119</v>
      </c>
    </row>
    <row r="59" spans="1:24" x14ac:dyDescent="0.25">
      <c r="A59" s="11"/>
      <c r="B59" s="11"/>
      <c r="C59" s="11"/>
      <c r="D59" s="11"/>
      <c r="E59" s="11"/>
      <c r="F59" s="11"/>
      <c r="G59" s="11"/>
      <c r="H59" s="11"/>
      <c r="M59" s="12" t="str">
        <f t="shared" si="5"/>
        <v>Secure Complete1500000</v>
      </c>
      <c r="N59" s="3">
        <v>3116</v>
      </c>
      <c r="O59" s="3">
        <v>4647</v>
      </c>
      <c r="P59" s="3">
        <v>5962</v>
      </c>
      <c r="Q59" s="3">
        <v>8409</v>
      </c>
      <c r="R59" s="3">
        <v>10689</v>
      </c>
      <c r="S59" s="3">
        <v>14858</v>
      </c>
      <c r="T59" s="3">
        <v>19143</v>
      </c>
      <c r="U59" s="3">
        <v>28515</v>
      </c>
      <c r="V59" s="3">
        <v>42348</v>
      </c>
      <c r="W59" s="3">
        <v>58084</v>
      </c>
      <c r="X59" s="3">
        <v>93319</v>
      </c>
    </row>
    <row r="60" spans="1:24" x14ac:dyDescent="0.25">
      <c r="A60" s="11"/>
      <c r="B60" s="11"/>
      <c r="C60" s="11"/>
      <c r="D60" s="11"/>
      <c r="E60" s="11"/>
      <c r="F60" s="11"/>
      <c r="G60" s="11"/>
      <c r="H60" s="11"/>
    </row>
    <row r="61" spans="1:24" x14ac:dyDescent="0.25">
      <c r="A61" s="11"/>
      <c r="B61" s="11"/>
      <c r="C61" s="11"/>
      <c r="D61" s="11"/>
      <c r="E61" s="11"/>
      <c r="F61" s="11"/>
      <c r="G61" s="11"/>
      <c r="H61" s="11"/>
    </row>
    <row r="62" spans="1:24" x14ac:dyDescent="0.25">
      <c r="A62" s="11"/>
      <c r="B62" s="11"/>
      <c r="C62" s="11"/>
      <c r="D62" s="11"/>
      <c r="E62" s="11"/>
      <c r="F62" s="11"/>
      <c r="G62" s="11"/>
      <c r="H62" s="11"/>
    </row>
    <row r="63" spans="1:24" x14ac:dyDescent="0.25">
      <c r="A63" s="11"/>
      <c r="B63" s="11"/>
      <c r="C63" s="11"/>
      <c r="D63" s="11"/>
      <c r="E63" s="11"/>
      <c r="F63" s="11"/>
      <c r="G63" s="11"/>
      <c r="H63" s="11"/>
    </row>
    <row r="64" spans="1:24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</sheetData>
  <mergeCells count="5">
    <mergeCell ref="B38:G38"/>
    <mergeCell ref="AA13:AB13"/>
    <mergeCell ref="AJ13:AK13"/>
    <mergeCell ref="AH4:AH8"/>
    <mergeCell ref="AI4:A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Drop down lists</vt:lpstr>
      <vt:lpstr>Master</vt:lpstr>
      <vt:lpstr>Secure_Basic</vt:lpstr>
      <vt:lpstr>Secure_Complete</vt:lpstr>
      <vt:lpstr>Secure_Elite</vt:lpstr>
      <vt:lpstr>Secure_Supreme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Patil</dc:creator>
  <cp:lastModifiedBy>Shailesh Patil</cp:lastModifiedBy>
  <cp:lastPrinted>2021-08-19T06:27:42Z</cp:lastPrinted>
  <dcterms:created xsi:type="dcterms:W3CDTF">2017-05-31T13:05:47Z</dcterms:created>
  <dcterms:modified xsi:type="dcterms:W3CDTF">2021-09-27T10:19:53Z</dcterms:modified>
</cp:coreProperties>
</file>